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Will/Downloads/"/>
    </mc:Choice>
  </mc:AlternateContent>
  <xr:revisionPtr revIDLastSave="0" documentId="8_{45D1EF29-A013-ED47-BFEF-33BCC7EF21E8}" xr6:coauthVersionLast="47" xr6:coauthVersionMax="47" xr10:uidLastSave="{00000000-0000-0000-0000-000000000000}"/>
  <bookViews>
    <workbookView xWindow="0" yWindow="460" windowWidth="33600" windowHeight="19640" xr2:uid="{00000000-000D-0000-FFFF-FFFF00000000}"/>
  </bookViews>
  <sheets>
    <sheet name="Cash Flow for Finance Commitee" sheetId="1" r:id="rId1"/>
    <sheet name="Variance Report for Finance Com" sheetId="2" r:id="rId2"/>
    <sheet name="YTD P&amp;L FY2023" sheetId="6" r:id="rId3"/>
    <sheet name="2023 Budget" sheetId="5" r:id="rId4"/>
  </sheets>
  <definedNames>
    <definedName name="_xlnm.Print_Area" localSheetId="0">'Cash Flow for Finance Commitee'!$A$1:$N$22</definedName>
    <definedName name="_xlnm.Print_Area" localSheetId="1">'Variance Report for Finance Com'!$A$1:$J$116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C17" i="1"/>
  <c r="D13" i="1"/>
  <c r="E13" i="1"/>
  <c r="F13" i="1"/>
  <c r="G13" i="1"/>
  <c r="H13" i="1"/>
  <c r="I13" i="1"/>
  <c r="C13" i="1"/>
  <c r="C14" i="1"/>
  <c r="H115" i="2"/>
  <c r="H114" i="2"/>
  <c r="D18" i="1"/>
  <c r="E18" i="1"/>
  <c r="F18" i="1"/>
  <c r="G18" i="1"/>
  <c r="H18" i="1"/>
  <c r="I18" i="1"/>
  <c r="C18" i="1"/>
  <c r="H9" i="1"/>
  <c r="I9" i="1"/>
  <c r="H10" i="1"/>
  <c r="I10" i="1"/>
  <c r="H11" i="1"/>
  <c r="I11" i="1"/>
  <c r="H12" i="1"/>
  <c r="I12" i="1"/>
  <c r="E115" i="2"/>
  <c r="B115" i="2"/>
  <c r="L108" i="2" l="1"/>
  <c r="H108" i="2"/>
  <c r="J108" i="2" s="1"/>
  <c r="E108" i="2"/>
  <c r="G108" i="2" s="1"/>
  <c r="B108" i="2"/>
  <c r="D108" i="2" s="1"/>
  <c r="I107" i="2"/>
  <c r="I110" i="2" s="1"/>
  <c r="I111" i="2" s="1"/>
  <c r="H107" i="2"/>
  <c r="H110" i="2" s="1"/>
  <c r="F107" i="2"/>
  <c r="F110" i="2" s="1"/>
  <c r="F111" i="2" s="1"/>
  <c r="E107" i="2"/>
  <c r="C107" i="2"/>
  <c r="C110" i="2" s="1"/>
  <c r="B107" i="2"/>
  <c r="I100" i="2"/>
  <c r="J100" i="2" s="1"/>
  <c r="F100" i="2"/>
  <c r="E100" i="2"/>
  <c r="C100" i="2"/>
  <c r="B100" i="2"/>
  <c r="K99" i="2"/>
  <c r="I99" i="2"/>
  <c r="J99" i="2" s="1"/>
  <c r="F99" i="2"/>
  <c r="G99" i="2" s="1"/>
  <c r="C99" i="2"/>
  <c r="I98" i="2"/>
  <c r="I101" i="2" s="1"/>
  <c r="H98" i="2"/>
  <c r="H101" i="2" s="1"/>
  <c r="F98" i="2"/>
  <c r="E98" i="2"/>
  <c r="D98" i="2"/>
  <c r="C98" i="2"/>
  <c r="B98" i="2"/>
  <c r="L97" i="2"/>
  <c r="K97" i="2"/>
  <c r="M97" i="2" s="1"/>
  <c r="J97" i="2"/>
  <c r="G97" i="2"/>
  <c r="D97" i="2"/>
  <c r="H95" i="2"/>
  <c r="K94" i="2"/>
  <c r="I94" i="2"/>
  <c r="J94" i="2" s="1"/>
  <c r="F94" i="2"/>
  <c r="G94" i="2" s="1"/>
  <c r="C94" i="2"/>
  <c r="L94" i="2" s="1"/>
  <c r="I93" i="2"/>
  <c r="J93" i="2" s="1"/>
  <c r="F93" i="2"/>
  <c r="E93" i="2"/>
  <c r="C93" i="2"/>
  <c r="L93" i="2" s="1"/>
  <c r="L92" i="2"/>
  <c r="J92" i="2"/>
  <c r="E92" i="2"/>
  <c r="G92" i="2" s="1"/>
  <c r="B92" i="2"/>
  <c r="B95" i="2" s="1"/>
  <c r="I91" i="2"/>
  <c r="J91" i="2" s="1"/>
  <c r="F91" i="2"/>
  <c r="E91" i="2"/>
  <c r="K91" i="2" s="1"/>
  <c r="C91" i="2"/>
  <c r="D91" i="2" s="1"/>
  <c r="L90" i="2"/>
  <c r="K90" i="2"/>
  <c r="J90" i="2"/>
  <c r="G90" i="2"/>
  <c r="D90" i="2"/>
  <c r="H89" i="2"/>
  <c r="E89" i="2"/>
  <c r="B89" i="2"/>
  <c r="K88" i="2"/>
  <c r="I88" i="2"/>
  <c r="J88" i="2" s="1"/>
  <c r="F88" i="2"/>
  <c r="G88" i="2" s="1"/>
  <c r="C88" i="2"/>
  <c r="D88" i="2" s="1"/>
  <c r="K87" i="2"/>
  <c r="I87" i="2"/>
  <c r="J87" i="2" s="1"/>
  <c r="F87" i="2"/>
  <c r="G87" i="2" s="1"/>
  <c r="C87" i="2"/>
  <c r="D87" i="2" s="1"/>
  <c r="K86" i="2"/>
  <c r="I86" i="2"/>
  <c r="J86" i="2" s="1"/>
  <c r="F86" i="2"/>
  <c r="C86" i="2"/>
  <c r="L85" i="2"/>
  <c r="K85" i="2"/>
  <c r="J85" i="2"/>
  <c r="G85" i="2"/>
  <c r="D85" i="2"/>
  <c r="H84" i="2"/>
  <c r="E84" i="2"/>
  <c r="K83" i="2"/>
  <c r="I83" i="2"/>
  <c r="J83" i="2" s="1"/>
  <c r="F83" i="2"/>
  <c r="G83" i="2" s="1"/>
  <c r="C83" i="2"/>
  <c r="D83" i="2" s="1"/>
  <c r="I82" i="2"/>
  <c r="J82" i="2" s="1"/>
  <c r="F82" i="2"/>
  <c r="G82" i="2" s="1"/>
  <c r="C82" i="2"/>
  <c r="B82" i="2"/>
  <c r="D82" i="2" s="1"/>
  <c r="K81" i="2"/>
  <c r="I81" i="2"/>
  <c r="J81" i="2" s="1"/>
  <c r="F81" i="2"/>
  <c r="G81" i="2" s="1"/>
  <c r="C81" i="2"/>
  <c r="C84" i="2" s="1"/>
  <c r="L80" i="2"/>
  <c r="K80" i="2"/>
  <c r="J80" i="2"/>
  <c r="G80" i="2"/>
  <c r="D80" i="2"/>
  <c r="H79" i="2"/>
  <c r="B79" i="2"/>
  <c r="I78" i="2"/>
  <c r="J78" i="2" s="1"/>
  <c r="F78" i="2"/>
  <c r="E78" i="2"/>
  <c r="K78" i="2" s="1"/>
  <c r="C78" i="2"/>
  <c r="D78" i="2" s="1"/>
  <c r="I77" i="2"/>
  <c r="J77" i="2" s="1"/>
  <c r="F77" i="2"/>
  <c r="E77" i="2"/>
  <c r="C77" i="2"/>
  <c r="D77" i="2" s="1"/>
  <c r="K76" i="2"/>
  <c r="I76" i="2"/>
  <c r="J76" i="2" s="1"/>
  <c r="F76" i="2"/>
  <c r="C76" i="2"/>
  <c r="D76" i="2" s="1"/>
  <c r="L75" i="2"/>
  <c r="K75" i="2"/>
  <c r="J75" i="2"/>
  <c r="G75" i="2"/>
  <c r="D75" i="2"/>
  <c r="I73" i="2"/>
  <c r="J73" i="2" s="1"/>
  <c r="F73" i="2"/>
  <c r="E73" i="2"/>
  <c r="G73" i="2" s="1"/>
  <c r="C73" i="2"/>
  <c r="B73" i="2"/>
  <c r="K72" i="2"/>
  <c r="I72" i="2"/>
  <c r="J72" i="2" s="1"/>
  <c r="F72" i="2"/>
  <c r="G72" i="2" s="1"/>
  <c r="C72" i="2"/>
  <c r="I71" i="2"/>
  <c r="H71" i="2"/>
  <c r="H74" i="2" s="1"/>
  <c r="F71" i="2"/>
  <c r="E71" i="2"/>
  <c r="E74" i="2" s="1"/>
  <c r="C71" i="2"/>
  <c r="B71" i="2"/>
  <c r="K70" i="2"/>
  <c r="I70" i="2"/>
  <c r="J70" i="2" s="1"/>
  <c r="F70" i="2"/>
  <c r="C70" i="2"/>
  <c r="L69" i="2"/>
  <c r="K69" i="2"/>
  <c r="J69" i="2"/>
  <c r="G69" i="2"/>
  <c r="D69" i="2"/>
  <c r="L68" i="2"/>
  <c r="K68" i="2"/>
  <c r="J68" i="2"/>
  <c r="G68" i="2"/>
  <c r="D68" i="2"/>
  <c r="K66" i="2"/>
  <c r="I66" i="2"/>
  <c r="J66" i="2" s="1"/>
  <c r="F66" i="2"/>
  <c r="G66" i="2" s="1"/>
  <c r="C66" i="2"/>
  <c r="I65" i="2"/>
  <c r="H65" i="2"/>
  <c r="F65" i="2"/>
  <c r="E65" i="2"/>
  <c r="C65" i="2"/>
  <c r="B65" i="2"/>
  <c r="D65" i="2" s="1"/>
  <c r="I64" i="2"/>
  <c r="H64" i="2"/>
  <c r="F64" i="2"/>
  <c r="E64" i="2"/>
  <c r="C64" i="2"/>
  <c r="L64" i="2" s="1"/>
  <c r="B64" i="2"/>
  <c r="I63" i="2"/>
  <c r="J63" i="2" s="1"/>
  <c r="F63" i="2"/>
  <c r="E63" i="2"/>
  <c r="C63" i="2"/>
  <c r="B63" i="2"/>
  <c r="I62" i="2"/>
  <c r="J62" i="2" s="1"/>
  <c r="F62" i="2"/>
  <c r="E62" i="2"/>
  <c r="C62" i="2"/>
  <c r="L61" i="2"/>
  <c r="K61" i="2"/>
  <c r="J61" i="2"/>
  <c r="G61" i="2"/>
  <c r="D61" i="2"/>
  <c r="K59" i="2"/>
  <c r="I59" i="2"/>
  <c r="J59" i="2" s="1"/>
  <c r="F59" i="2"/>
  <c r="G59" i="2" s="1"/>
  <c r="C59" i="2"/>
  <c r="D59" i="2" s="1"/>
  <c r="K58" i="2"/>
  <c r="I58" i="2"/>
  <c r="J58" i="2" s="1"/>
  <c r="F58" i="2"/>
  <c r="G58" i="2" s="1"/>
  <c r="C58" i="2"/>
  <c r="K57" i="2"/>
  <c r="I57" i="2"/>
  <c r="J57" i="2" s="1"/>
  <c r="F57" i="2"/>
  <c r="G57" i="2" s="1"/>
  <c r="C57" i="2"/>
  <c r="K56" i="2"/>
  <c r="I56" i="2"/>
  <c r="J56" i="2" s="1"/>
  <c r="F56" i="2"/>
  <c r="C56" i="2"/>
  <c r="D56" i="2" s="1"/>
  <c r="K55" i="2"/>
  <c r="I55" i="2"/>
  <c r="J55" i="2" s="1"/>
  <c r="F55" i="2"/>
  <c r="G55" i="2" s="1"/>
  <c r="C55" i="2"/>
  <c r="K54" i="2"/>
  <c r="I54" i="2"/>
  <c r="J54" i="2" s="1"/>
  <c r="F54" i="2"/>
  <c r="G54" i="2" s="1"/>
  <c r="C54" i="2"/>
  <c r="L53" i="2"/>
  <c r="H53" i="2"/>
  <c r="J53" i="2" s="1"/>
  <c r="E53" i="2"/>
  <c r="G53" i="2" s="1"/>
  <c r="B53" i="2"/>
  <c r="I52" i="2"/>
  <c r="H52" i="2"/>
  <c r="F52" i="2"/>
  <c r="E52" i="2"/>
  <c r="E60" i="2" s="1"/>
  <c r="C52" i="2"/>
  <c r="B52" i="2"/>
  <c r="L51" i="2"/>
  <c r="K51" i="2"/>
  <c r="M51" i="2" s="1"/>
  <c r="J51" i="2"/>
  <c r="G51" i="2"/>
  <c r="D51" i="2"/>
  <c r="H50" i="2"/>
  <c r="I49" i="2"/>
  <c r="J49" i="2" s="1"/>
  <c r="F49" i="2"/>
  <c r="E49" i="2"/>
  <c r="E50" i="2" s="1"/>
  <c r="C49" i="2"/>
  <c r="B49" i="2"/>
  <c r="K48" i="2"/>
  <c r="I48" i="2"/>
  <c r="J48" i="2" s="1"/>
  <c r="F48" i="2"/>
  <c r="C48" i="2"/>
  <c r="D48" i="2" s="1"/>
  <c r="L47" i="2"/>
  <c r="K47" i="2"/>
  <c r="J47" i="2"/>
  <c r="G47" i="2"/>
  <c r="D47" i="2"/>
  <c r="L46" i="2"/>
  <c r="K46" i="2"/>
  <c r="J46" i="2"/>
  <c r="G46" i="2"/>
  <c r="D46" i="2"/>
  <c r="I42" i="2"/>
  <c r="J42" i="2" s="1"/>
  <c r="F42" i="2"/>
  <c r="G42" i="2" s="1"/>
  <c r="C42" i="2"/>
  <c r="B42" i="2"/>
  <c r="K42" i="2" s="1"/>
  <c r="I41" i="2"/>
  <c r="H41" i="2"/>
  <c r="F41" i="2"/>
  <c r="E41" i="2"/>
  <c r="C41" i="2"/>
  <c r="B41" i="2"/>
  <c r="I40" i="2"/>
  <c r="H40" i="2"/>
  <c r="F40" i="2"/>
  <c r="E40" i="2"/>
  <c r="C40" i="2"/>
  <c r="B40" i="2"/>
  <c r="I39" i="2"/>
  <c r="H39" i="2"/>
  <c r="F39" i="2"/>
  <c r="E39" i="2"/>
  <c r="C39" i="2"/>
  <c r="B39" i="2"/>
  <c r="I38" i="2"/>
  <c r="H38" i="2"/>
  <c r="F38" i="2"/>
  <c r="E38" i="2"/>
  <c r="C38" i="2"/>
  <c r="B38" i="2"/>
  <c r="L37" i="2"/>
  <c r="K37" i="2"/>
  <c r="J37" i="2"/>
  <c r="G37" i="2"/>
  <c r="D37" i="2"/>
  <c r="I35" i="2"/>
  <c r="H35" i="2"/>
  <c r="H36" i="2" s="1"/>
  <c r="F35" i="2"/>
  <c r="F36" i="2" s="1"/>
  <c r="E35" i="2"/>
  <c r="C35" i="2"/>
  <c r="B35" i="2"/>
  <c r="L34" i="2"/>
  <c r="K34" i="2"/>
  <c r="J34" i="2"/>
  <c r="G34" i="2"/>
  <c r="D34" i="2"/>
  <c r="I32" i="2"/>
  <c r="H32" i="2"/>
  <c r="F32" i="2"/>
  <c r="E32" i="2"/>
  <c r="C32" i="2"/>
  <c r="B32" i="2"/>
  <c r="K32" i="2" s="1"/>
  <c r="I31" i="2"/>
  <c r="H31" i="2"/>
  <c r="F31" i="2"/>
  <c r="E31" i="2"/>
  <c r="E33" i="2" s="1"/>
  <c r="C31" i="2"/>
  <c r="B31" i="2"/>
  <c r="L30" i="2"/>
  <c r="K30" i="2"/>
  <c r="J30" i="2"/>
  <c r="G30" i="2"/>
  <c r="D30" i="2"/>
  <c r="I28" i="2"/>
  <c r="J28" i="2" s="1"/>
  <c r="F28" i="2"/>
  <c r="E28" i="2"/>
  <c r="C28" i="2"/>
  <c r="D28" i="2" s="1"/>
  <c r="I27" i="2"/>
  <c r="H27" i="2"/>
  <c r="H29" i="2" s="1"/>
  <c r="F27" i="2"/>
  <c r="E27" i="2"/>
  <c r="C27" i="2"/>
  <c r="B27" i="2"/>
  <c r="I26" i="2"/>
  <c r="J26" i="2" s="1"/>
  <c r="F26" i="2"/>
  <c r="E26" i="2"/>
  <c r="C26" i="2"/>
  <c r="B26" i="2"/>
  <c r="L25" i="2"/>
  <c r="K25" i="2"/>
  <c r="J25" i="2"/>
  <c r="G25" i="2"/>
  <c r="D25" i="2"/>
  <c r="K23" i="2"/>
  <c r="I23" i="2"/>
  <c r="J23" i="2" s="1"/>
  <c r="F23" i="2"/>
  <c r="G23" i="2" s="1"/>
  <c r="C23" i="2"/>
  <c r="I22" i="2"/>
  <c r="H22" i="2"/>
  <c r="F22" i="2"/>
  <c r="E22" i="2"/>
  <c r="C22" i="2"/>
  <c r="B22" i="2"/>
  <c r="I21" i="2"/>
  <c r="H21" i="2"/>
  <c r="F21" i="2"/>
  <c r="E21" i="2"/>
  <c r="C21" i="2"/>
  <c r="B21" i="2"/>
  <c r="L20" i="2"/>
  <c r="K20" i="2"/>
  <c r="J20" i="2"/>
  <c r="G20" i="2"/>
  <c r="D20" i="2"/>
  <c r="L19" i="2"/>
  <c r="K19" i="2"/>
  <c r="J19" i="2"/>
  <c r="G19" i="2"/>
  <c r="D19" i="2"/>
  <c r="K13" i="2"/>
  <c r="I13" i="2"/>
  <c r="J13" i="2" s="1"/>
  <c r="F13" i="2"/>
  <c r="G13" i="2" s="1"/>
  <c r="C13" i="2"/>
  <c r="I12" i="2"/>
  <c r="J12" i="2" s="1"/>
  <c r="F12" i="2"/>
  <c r="E12" i="2"/>
  <c r="G12" i="2" s="1"/>
  <c r="C12" i="2"/>
  <c r="B12" i="2"/>
  <c r="I11" i="2"/>
  <c r="H11" i="2"/>
  <c r="H14" i="2" s="1"/>
  <c r="F11" i="2"/>
  <c r="E11" i="2"/>
  <c r="C11" i="2"/>
  <c r="B11" i="2"/>
  <c r="D11" i="2" s="1"/>
  <c r="L10" i="2"/>
  <c r="J10" i="2"/>
  <c r="E10" i="2"/>
  <c r="K10" i="2" s="1"/>
  <c r="D10" i="2"/>
  <c r="I9" i="2"/>
  <c r="J9" i="2" s="1"/>
  <c r="F9" i="2"/>
  <c r="E9" i="2"/>
  <c r="C9" i="2"/>
  <c r="B9" i="2"/>
  <c r="I8" i="2"/>
  <c r="H8" i="2"/>
  <c r="F8" i="2"/>
  <c r="E8" i="2"/>
  <c r="C8" i="2"/>
  <c r="B8" i="2"/>
  <c r="F84" i="6"/>
  <c r="F85" i="6" s="1"/>
  <c r="B84" i="6"/>
  <c r="G83" i="6"/>
  <c r="I83" i="6" s="1"/>
  <c r="H82" i="6"/>
  <c r="G82" i="6"/>
  <c r="F82" i="6"/>
  <c r="E82" i="6"/>
  <c r="D82" i="6"/>
  <c r="C82" i="6"/>
  <c r="B82" i="6"/>
  <c r="I82" i="6" s="1"/>
  <c r="H81" i="6"/>
  <c r="H84" i="6" s="1"/>
  <c r="H85" i="6" s="1"/>
  <c r="G81" i="6"/>
  <c r="G84" i="6" s="1"/>
  <c r="G85" i="6" s="1"/>
  <c r="F81" i="6"/>
  <c r="E81" i="6"/>
  <c r="E84" i="6" s="1"/>
  <c r="E85" i="6" s="1"/>
  <c r="D81" i="6"/>
  <c r="D84" i="6" s="1"/>
  <c r="D85" i="6" s="1"/>
  <c r="C81" i="6"/>
  <c r="C84" i="6" s="1"/>
  <c r="C85" i="6" s="1"/>
  <c r="B81" i="6"/>
  <c r="I81" i="6" s="1"/>
  <c r="F75" i="6"/>
  <c r="D75" i="6"/>
  <c r="B75" i="6"/>
  <c r="I75" i="6" s="1"/>
  <c r="H74" i="6"/>
  <c r="H76" i="6" s="1"/>
  <c r="G74" i="6"/>
  <c r="G76" i="6" s="1"/>
  <c r="F74" i="6"/>
  <c r="F76" i="6" s="1"/>
  <c r="E74" i="6"/>
  <c r="E76" i="6" s="1"/>
  <c r="D74" i="6"/>
  <c r="D76" i="6" s="1"/>
  <c r="C74" i="6"/>
  <c r="C76" i="6" s="1"/>
  <c r="B74" i="6"/>
  <c r="B76" i="6" s="1"/>
  <c r="I73" i="6"/>
  <c r="H71" i="6"/>
  <c r="E71" i="6"/>
  <c r="B71" i="6"/>
  <c r="I70" i="6"/>
  <c r="F70" i="6"/>
  <c r="G69" i="6"/>
  <c r="G71" i="6" s="1"/>
  <c r="D69" i="6"/>
  <c r="D71" i="6" s="1"/>
  <c r="C69" i="6"/>
  <c r="C71" i="6" s="1"/>
  <c r="F68" i="6"/>
  <c r="I68" i="6" s="1"/>
  <c r="I67" i="6"/>
  <c r="H66" i="6"/>
  <c r="G66" i="6"/>
  <c r="F66" i="6"/>
  <c r="E66" i="6"/>
  <c r="C66" i="6"/>
  <c r="B66" i="6"/>
  <c r="D65" i="6"/>
  <c r="I65" i="6" s="1"/>
  <c r="I64" i="6"/>
  <c r="H63" i="6"/>
  <c r="G63" i="6"/>
  <c r="E63" i="6"/>
  <c r="D63" i="6"/>
  <c r="C63" i="6"/>
  <c r="B63" i="6"/>
  <c r="I62" i="6"/>
  <c r="E62" i="6"/>
  <c r="F61" i="6"/>
  <c r="I61" i="6" s="1"/>
  <c r="I60" i="6"/>
  <c r="F58" i="6"/>
  <c r="D58" i="6"/>
  <c r="C58" i="6"/>
  <c r="I58" i="6" s="1"/>
  <c r="H57" i="6"/>
  <c r="H59" i="6" s="1"/>
  <c r="H72" i="6" s="1"/>
  <c r="G57" i="6"/>
  <c r="G59" i="6" s="1"/>
  <c r="G72" i="6" s="1"/>
  <c r="F57" i="6"/>
  <c r="F59" i="6" s="1"/>
  <c r="E57" i="6"/>
  <c r="E59" i="6" s="1"/>
  <c r="E72" i="6" s="1"/>
  <c r="D57" i="6"/>
  <c r="D59" i="6" s="1"/>
  <c r="C57" i="6"/>
  <c r="C59" i="6" s="1"/>
  <c r="B57" i="6"/>
  <c r="I57" i="6" s="1"/>
  <c r="I56" i="6"/>
  <c r="I55" i="6"/>
  <c r="G54" i="6"/>
  <c r="D54" i="6"/>
  <c r="H53" i="6"/>
  <c r="H54" i="6" s="1"/>
  <c r="E53" i="6"/>
  <c r="D53" i="6"/>
  <c r="C53" i="6"/>
  <c r="I53" i="6" s="1"/>
  <c r="H52" i="6"/>
  <c r="F52" i="6"/>
  <c r="F54" i="6" s="1"/>
  <c r="D52" i="6"/>
  <c r="C52" i="6"/>
  <c r="I52" i="6" s="1"/>
  <c r="B52" i="6"/>
  <c r="E51" i="6"/>
  <c r="C51" i="6"/>
  <c r="C54" i="6" s="1"/>
  <c r="B51" i="6"/>
  <c r="B54" i="6" s="1"/>
  <c r="I50" i="6"/>
  <c r="E50" i="6"/>
  <c r="E54" i="6" s="1"/>
  <c r="I49" i="6"/>
  <c r="H47" i="6"/>
  <c r="G47" i="6"/>
  <c r="F47" i="6"/>
  <c r="E47" i="6"/>
  <c r="D47" i="6"/>
  <c r="C47" i="6"/>
  <c r="B47" i="6"/>
  <c r="I47" i="6" s="1"/>
  <c r="H46" i="6"/>
  <c r="H48" i="6" s="1"/>
  <c r="G46" i="6"/>
  <c r="G48" i="6" s="1"/>
  <c r="F46" i="6"/>
  <c r="F48" i="6" s="1"/>
  <c r="E46" i="6"/>
  <c r="E48" i="6" s="1"/>
  <c r="D46" i="6"/>
  <c r="D48" i="6" s="1"/>
  <c r="C46" i="6"/>
  <c r="C48" i="6" s="1"/>
  <c r="B46" i="6"/>
  <c r="I46" i="6" s="1"/>
  <c r="I45" i="6"/>
  <c r="H44" i="6"/>
  <c r="G44" i="6"/>
  <c r="G77" i="6" s="1"/>
  <c r="C44" i="6"/>
  <c r="B44" i="6"/>
  <c r="G43" i="6"/>
  <c r="F43" i="6"/>
  <c r="F44" i="6" s="1"/>
  <c r="E43" i="6"/>
  <c r="E44" i="6" s="1"/>
  <c r="D43" i="6"/>
  <c r="I43" i="6" s="1"/>
  <c r="B43" i="6"/>
  <c r="I42" i="6"/>
  <c r="I41" i="6"/>
  <c r="D38" i="6"/>
  <c r="C38" i="6"/>
  <c r="B38" i="6"/>
  <c r="I38" i="6" s="1"/>
  <c r="H37" i="6"/>
  <c r="G37" i="6"/>
  <c r="F37" i="6"/>
  <c r="E37" i="6"/>
  <c r="D37" i="6"/>
  <c r="C37" i="6"/>
  <c r="B37" i="6"/>
  <c r="I37" i="6" s="1"/>
  <c r="H36" i="6"/>
  <c r="G36" i="6"/>
  <c r="F36" i="6"/>
  <c r="E36" i="6"/>
  <c r="D36" i="6"/>
  <c r="C36" i="6"/>
  <c r="B36" i="6"/>
  <c r="I36" i="6" s="1"/>
  <c r="H35" i="6"/>
  <c r="G35" i="6"/>
  <c r="F35" i="6"/>
  <c r="E35" i="6"/>
  <c r="D35" i="6"/>
  <c r="C35" i="6"/>
  <c r="B35" i="6"/>
  <c r="I35" i="6" s="1"/>
  <c r="H34" i="6"/>
  <c r="H39" i="6" s="1"/>
  <c r="G34" i="6"/>
  <c r="G39" i="6" s="1"/>
  <c r="F34" i="6"/>
  <c r="F39" i="6" s="1"/>
  <c r="E34" i="6"/>
  <c r="E39" i="6" s="1"/>
  <c r="D34" i="6"/>
  <c r="D39" i="6" s="1"/>
  <c r="C34" i="6"/>
  <c r="C39" i="6" s="1"/>
  <c r="B34" i="6"/>
  <c r="B39" i="6" s="1"/>
  <c r="I33" i="6"/>
  <c r="H32" i="6"/>
  <c r="F32" i="6"/>
  <c r="D32" i="6"/>
  <c r="C32" i="6"/>
  <c r="H31" i="6"/>
  <c r="G31" i="6"/>
  <c r="G32" i="6" s="1"/>
  <c r="E31" i="6"/>
  <c r="E32" i="6" s="1"/>
  <c r="D31" i="6"/>
  <c r="B31" i="6"/>
  <c r="B32" i="6" s="1"/>
  <c r="I32" i="6" s="1"/>
  <c r="I30" i="6"/>
  <c r="C29" i="6"/>
  <c r="H28" i="6"/>
  <c r="G28" i="6"/>
  <c r="F28" i="6"/>
  <c r="E28" i="6"/>
  <c r="E29" i="6" s="1"/>
  <c r="D28" i="6"/>
  <c r="C28" i="6"/>
  <c r="B28" i="6"/>
  <c r="I28" i="6" s="1"/>
  <c r="H27" i="6"/>
  <c r="H29" i="6" s="1"/>
  <c r="G27" i="6"/>
  <c r="G29" i="6" s="1"/>
  <c r="F27" i="6"/>
  <c r="F29" i="6" s="1"/>
  <c r="D27" i="6"/>
  <c r="D29" i="6" s="1"/>
  <c r="C27" i="6"/>
  <c r="B27" i="6"/>
  <c r="B29" i="6" s="1"/>
  <c r="I26" i="6"/>
  <c r="G25" i="6"/>
  <c r="F25" i="6"/>
  <c r="C25" i="6"/>
  <c r="B25" i="6"/>
  <c r="I25" i="6" s="1"/>
  <c r="I24" i="6"/>
  <c r="G24" i="6"/>
  <c r="H23" i="6"/>
  <c r="H25" i="6" s="1"/>
  <c r="G23" i="6"/>
  <c r="F23" i="6"/>
  <c r="E23" i="6"/>
  <c r="E25" i="6" s="1"/>
  <c r="D23" i="6"/>
  <c r="D25" i="6" s="1"/>
  <c r="C23" i="6"/>
  <c r="B23" i="6"/>
  <c r="I22" i="6"/>
  <c r="G22" i="6"/>
  <c r="B22" i="6"/>
  <c r="I21" i="6"/>
  <c r="H19" i="6"/>
  <c r="G19" i="6"/>
  <c r="F19" i="6"/>
  <c r="E19" i="6"/>
  <c r="I19" i="6" s="1"/>
  <c r="D19" i="6"/>
  <c r="C19" i="6"/>
  <c r="B19" i="6"/>
  <c r="H18" i="6"/>
  <c r="H20" i="6" s="1"/>
  <c r="G18" i="6"/>
  <c r="G20" i="6" s="1"/>
  <c r="F18" i="6"/>
  <c r="F20" i="6" s="1"/>
  <c r="E18" i="6"/>
  <c r="E20" i="6" s="1"/>
  <c r="E40" i="6" s="1"/>
  <c r="D18" i="6"/>
  <c r="D20" i="6" s="1"/>
  <c r="C18" i="6"/>
  <c r="C20" i="6" s="1"/>
  <c r="C40" i="6" s="1"/>
  <c r="B18" i="6"/>
  <c r="B20" i="6" s="1"/>
  <c r="I17" i="6"/>
  <c r="I16" i="6"/>
  <c r="G12" i="6"/>
  <c r="C12" i="6"/>
  <c r="C13" i="6" s="1"/>
  <c r="C14" i="6" s="1"/>
  <c r="B12" i="6"/>
  <c r="I12" i="6" s="1"/>
  <c r="G11" i="6"/>
  <c r="F11" i="6"/>
  <c r="F12" i="6" s="1"/>
  <c r="E11" i="6"/>
  <c r="D11" i="6"/>
  <c r="C11" i="6"/>
  <c r="I11" i="6" s="1"/>
  <c r="H10" i="6"/>
  <c r="H12" i="6" s="1"/>
  <c r="G10" i="6"/>
  <c r="F10" i="6"/>
  <c r="E10" i="6"/>
  <c r="E12" i="6" s="1"/>
  <c r="D10" i="6"/>
  <c r="D12" i="6" s="1"/>
  <c r="C10" i="6"/>
  <c r="B10" i="6"/>
  <c r="I9" i="6"/>
  <c r="E9" i="6"/>
  <c r="E13" i="6" s="1"/>
  <c r="E14" i="6" s="1"/>
  <c r="F8" i="6"/>
  <c r="D8" i="6"/>
  <c r="B8" i="6"/>
  <c r="I8" i="6" s="1"/>
  <c r="H7" i="6"/>
  <c r="H13" i="6" s="1"/>
  <c r="H14" i="6" s="1"/>
  <c r="G7" i="6"/>
  <c r="G13" i="6" s="1"/>
  <c r="G14" i="6" s="1"/>
  <c r="F7" i="6"/>
  <c r="F13" i="6" s="1"/>
  <c r="F14" i="6" s="1"/>
  <c r="D7" i="6"/>
  <c r="D13" i="6" s="1"/>
  <c r="D14" i="6" s="1"/>
  <c r="C7" i="6"/>
  <c r="B7" i="6"/>
  <c r="B13" i="6" s="1"/>
  <c r="F33" i="2" l="1"/>
  <c r="F50" i="2"/>
  <c r="G28" i="2"/>
  <c r="J31" i="2"/>
  <c r="G8" i="2"/>
  <c r="F14" i="2"/>
  <c r="D22" i="2"/>
  <c r="G62" i="2"/>
  <c r="D64" i="2"/>
  <c r="M69" i="2"/>
  <c r="L86" i="2"/>
  <c r="C50" i="2"/>
  <c r="K8" i="2"/>
  <c r="B33" i="2"/>
  <c r="B43" i="2"/>
  <c r="H43" i="2"/>
  <c r="K71" i="2"/>
  <c r="K98" i="2"/>
  <c r="B110" i="2"/>
  <c r="H15" i="2"/>
  <c r="H16" i="2" s="1"/>
  <c r="G9" i="2"/>
  <c r="M10" i="2"/>
  <c r="H24" i="2"/>
  <c r="L23" i="2"/>
  <c r="M23" i="2" s="1"/>
  <c r="C33" i="2"/>
  <c r="G32" i="2"/>
  <c r="B60" i="2"/>
  <c r="D63" i="2"/>
  <c r="F79" i="2"/>
  <c r="L82" i="2"/>
  <c r="D33" i="2"/>
  <c r="L12" i="2"/>
  <c r="M19" i="2"/>
  <c r="C24" i="2"/>
  <c r="D23" i="2"/>
  <c r="E29" i="2"/>
  <c r="I33" i="2"/>
  <c r="L35" i="2"/>
  <c r="J35" i="2"/>
  <c r="M37" i="2"/>
  <c r="E43" i="2"/>
  <c r="G40" i="2"/>
  <c r="K53" i="2"/>
  <c r="M53" i="2" s="1"/>
  <c r="L55" i="2"/>
  <c r="M55" i="2" s="1"/>
  <c r="M61" i="2"/>
  <c r="F67" i="2"/>
  <c r="L73" i="2"/>
  <c r="M75" i="2"/>
  <c r="L83" i="2"/>
  <c r="M83" i="2" s="1"/>
  <c r="G93" i="2"/>
  <c r="G27" i="2"/>
  <c r="K31" i="2"/>
  <c r="M34" i="2"/>
  <c r="G35" i="2"/>
  <c r="G52" i="2"/>
  <c r="H67" i="2"/>
  <c r="L66" i="2"/>
  <c r="L72" i="2"/>
  <c r="M72" i="2" s="1"/>
  <c r="F89" i="2"/>
  <c r="L87" i="2"/>
  <c r="M87" i="2" s="1"/>
  <c r="G91" i="2"/>
  <c r="D92" i="2"/>
  <c r="K92" i="2"/>
  <c r="M92" i="2" s="1"/>
  <c r="F101" i="2"/>
  <c r="K107" i="2"/>
  <c r="K9" i="2"/>
  <c r="G10" i="2"/>
  <c r="J32" i="2"/>
  <c r="G39" i="2"/>
  <c r="G41" i="2"/>
  <c r="M47" i="2"/>
  <c r="D49" i="2"/>
  <c r="G63" i="2"/>
  <c r="D72" i="2"/>
  <c r="G100" i="2"/>
  <c r="K82" i="2"/>
  <c r="M82" i="2" s="1"/>
  <c r="D9" i="2"/>
  <c r="K27" i="2"/>
  <c r="G31" i="2"/>
  <c r="F43" i="2"/>
  <c r="G43" i="2" s="1"/>
  <c r="K38" i="2"/>
  <c r="K39" i="2"/>
  <c r="K40" i="2"/>
  <c r="K41" i="2"/>
  <c r="G48" i="2"/>
  <c r="L48" i="2"/>
  <c r="C60" i="2"/>
  <c r="D60" i="2" s="1"/>
  <c r="H60" i="2"/>
  <c r="D53" i="2"/>
  <c r="D55" i="2"/>
  <c r="F60" i="2"/>
  <c r="G60" i="2" s="1"/>
  <c r="L57" i="2"/>
  <c r="M57" i="2" s="1"/>
  <c r="L59" i="2"/>
  <c r="M59" i="2" s="1"/>
  <c r="L62" i="2"/>
  <c r="D66" i="2"/>
  <c r="G76" i="2"/>
  <c r="L76" i="2"/>
  <c r="M76" i="2" s="1"/>
  <c r="B84" i="2"/>
  <c r="K84" i="2" s="1"/>
  <c r="C95" i="2"/>
  <c r="D95" i="2" s="1"/>
  <c r="F95" i="2"/>
  <c r="D94" i="2"/>
  <c r="E101" i="2"/>
  <c r="L98" i="2"/>
  <c r="M98" i="2" s="1"/>
  <c r="L11" i="2"/>
  <c r="J11" i="2"/>
  <c r="F24" i="2"/>
  <c r="L22" i="2"/>
  <c r="J22" i="2"/>
  <c r="L28" i="2"/>
  <c r="G38" i="2"/>
  <c r="K49" i="2"/>
  <c r="G49" i="2"/>
  <c r="D57" i="2"/>
  <c r="B67" i="2"/>
  <c r="C79" i="2"/>
  <c r="I79" i="2"/>
  <c r="J79" i="2" s="1"/>
  <c r="G78" i="2"/>
  <c r="M80" i="2"/>
  <c r="L99" i="2"/>
  <c r="M99" i="2" s="1"/>
  <c r="K100" i="2"/>
  <c r="D107" i="2"/>
  <c r="G11" i="2"/>
  <c r="D12" i="2"/>
  <c r="D21" i="2"/>
  <c r="G22" i="2"/>
  <c r="M25" i="2"/>
  <c r="M30" i="2"/>
  <c r="G33" i="2"/>
  <c r="D35" i="2"/>
  <c r="J39" i="2"/>
  <c r="J40" i="2"/>
  <c r="J41" i="2"/>
  <c r="M46" i="2"/>
  <c r="L49" i="2"/>
  <c r="K52" i="2"/>
  <c r="L54" i="2"/>
  <c r="M54" i="2" s="1"/>
  <c r="L56" i="2"/>
  <c r="M56" i="2" s="1"/>
  <c r="L58" i="2"/>
  <c r="M58" i="2" s="1"/>
  <c r="L63" i="2"/>
  <c r="L65" i="2"/>
  <c r="G71" i="2"/>
  <c r="K73" i="2"/>
  <c r="E79" i="2"/>
  <c r="K79" i="2" s="1"/>
  <c r="M85" i="2"/>
  <c r="M90" i="2"/>
  <c r="E95" i="2"/>
  <c r="D93" i="2"/>
  <c r="K93" i="2"/>
  <c r="M93" i="2" s="1"/>
  <c r="C101" i="2"/>
  <c r="D100" i="2"/>
  <c r="E110" i="2"/>
  <c r="E111" i="2" s="1"/>
  <c r="G111" i="2" s="1"/>
  <c r="L107" i="2"/>
  <c r="M107" i="2" s="1"/>
  <c r="M20" i="2"/>
  <c r="K89" i="2"/>
  <c r="M66" i="2"/>
  <c r="M48" i="2"/>
  <c r="M68" i="2"/>
  <c r="E14" i="2"/>
  <c r="L8" i="2"/>
  <c r="M8" i="2" s="1"/>
  <c r="D8" i="2"/>
  <c r="I14" i="2"/>
  <c r="I15" i="2" s="1"/>
  <c r="I16" i="2" s="1"/>
  <c r="I24" i="2"/>
  <c r="J24" i="2" s="1"/>
  <c r="J21" i="2"/>
  <c r="F29" i="2"/>
  <c r="G26" i="2"/>
  <c r="L27" i="2"/>
  <c r="M27" i="2" s="1"/>
  <c r="D27" i="2"/>
  <c r="I43" i="2"/>
  <c r="L9" i="2"/>
  <c r="M9" i="2" s="1"/>
  <c r="G21" i="2"/>
  <c r="E24" i="2"/>
  <c r="D26" i="2"/>
  <c r="B29" i="2"/>
  <c r="L33" i="2"/>
  <c r="E36" i="2"/>
  <c r="G36" i="2" s="1"/>
  <c r="F15" i="2"/>
  <c r="F16" i="2" s="1"/>
  <c r="L13" i="2"/>
  <c r="M13" i="2" s="1"/>
  <c r="D13" i="2"/>
  <c r="C29" i="2"/>
  <c r="K26" i="2"/>
  <c r="I29" i="2"/>
  <c r="J29" i="2" s="1"/>
  <c r="L31" i="2"/>
  <c r="M31" i="2" s="1"/>
  <c r="D31" i="2"/>
  <c r="L32" i="2"/>
  <c r="M32" i="2" s="1"/>
  <c r="D32" i="2"/>
  <c r="I36" i="2"/>
  <c r="J36" i="2" s="1"/>
  <c r="C43" i="2"/>
  <c r="L38" i="2"/>
  <c r="D38" i="2"/>
  <c r="J43" i="2"/>
  <c r="L39" i="2"/>
  <c r="D39" i="2"/>
  <c r="L40" i="2"/>
  <c r="D40" i="2"/>
  <c r="L41" i="2"/>
  <c r="D41" i="2"/>
  <c r="L42" i="2"/>
  <c r="M42" i="2" s="1"/>
  <c r="D42" i="2"/>
  <c r="I50" i="2"/>
  <c r="J50" i="2" s="1"/>
  <c r="K12" i="2"/>
  <c r="B14" i="2"/>
  <c r="L26" i="2"/>
  <c r="H33" i="2"/>
  <c r="J33" i="2" s="1"/>
  <c r="B36" i="2"/>
  <c r="B50" i="2"/>
  <c r="D52" i="2"/>
  <c r="L52" i="2"/>
  <c r="D54" i="2"/>
  <c r="G56" i="2"/>
  <c r="D58" i="2"/>
  <c r="D62" i="2"/>
  <c r="C67" i="2"/>
  <c r="I67" i="2"/>
  <c r="K64" i="2"/>
  <c r="M64" i="2" s="1"/>
  <c r="G64" i="2"/>
  <c r="L110" i="2"/>
  <c r="C111" i="2"/>
  <c r="L111" i="2" s="1"/>
  <c r="H111" i="2"/>
  <c r="J111" i="2" s="1"/>
  <c r="J110" i="2"/>
  <c r="K11" i="2"/>
  <c r="C14" i="2"/>
  <c r="K21" i="2"/>
  <c r="K22" i="2"/>
  <c r="B24" i="2"/>
  <c r="K28" i="2"/>
  <c r="K35" i="2"/>
  <c r="M35" i="2" s="1"/>
  <c r="C36" i="2"/>
  <c r="G50" i="2"/>
  <c r="I60" i="2"/>
  <c r="E67" i="2"/>
  <c r="G67" i="2" s="1"/>
  <c r="J65" i="2"/>
  <c r="L70" i="2"/>
  <c r="M70" i="2" s="1"/>
  <c r="D71" i="2"/>
  <c r="M94" i="2"/>
  <c r="K65" i="2"/>
  <c r="G65" i="2"/>
  <c r="J8" i="2"/>
  <c r="L21" i="2"/>
  <c r="J27" i="2"/>
  <c r="J38" i="2"/>
  <c r="J52" i="2"/>
  <c r="J64" i="2"/>
  <c r="G70" i="2"/>
  <c r="F74" i="2"/>
  <c r="L71" i="2"/>
  <c r="M71" i="2" s="1"/>
  <c r="C74" i="2"/>
  <c r="H96" i="2"/>
  <c r="M86" i="2"/>
  <c r="J101" i="2"/>
  <c r="K63" i="2"/>
  <c r="D73" i="2"/>
  <c r="I74" i="2"/>
  <c r="G77" i="2"/>
  <c r="L77" i="2"/>
  <c r="C89" i="2"/>
  <c r="G89" i="2"/>
  <c r="J98" i="2"/>
  <c r="B101" i="2"/>
  <c r="J107" i="2"/>
  <c r="K62" i="2"/>
  <c r="D70" i="2"/>
  <c r="J71" i="2"/>
  <c r="B74" i="2"/>
  <c r="L81" i="2"/>
  <c r="M81" i="2" s="1"/>
  <c r="I84" i="2"/>
  <c r="J84" i="2" s="1"/>
  <c r="D86" i="2"/>
  <c r="L88" i="2"/>
  <c r="M88" i="2" s="1"/>
  <c r="L91" i="2"/>
  <c r="M91" i="2" s="1"/>
  <c r="I95" i="2"/>
  <c r="J95" i="2" s="1"/>
  <c r="G98" i="2"/>
  <c r="D99" i="2"/>
  <c r="G107" i="2"/>
  <c r="L78" i="2"/>
  <c r="M78" i="2" s="1"/>
  <c r="F84" i="2"/>
  <c r="G84" i="2" s="1"/>
  <c r="I89" i="2"/>
  <c r="J89" i="2" s="1"/>
  <c r="L100" i="2"/>
  <c r="M100" i="2" s="1"/>
  <c r="K108" i="2"/>
  <c r="M108" i="2" s="1"/>
  <c r="K77" i="2"/>
  <c r="D81" i="2"/>
  <c r="G86" i="2"/>
  <c r="B14" i="6"/>
  <c r="I13" i="6"/>
  <c r="F40" i="6"/>
  <c r="I29" i="6"/>
  <c r="I76" i="6"/>
  <c r="I66" i="6"/>
  <c r="G79" i="6"/>
  <c r="G86" i="6" s="1"/>
  <c r="B40" i="6"/>
  <c r="I20" i="6"/>
  <c r="G40" i="6"/>
  <c r="G78" i="6" s="1"/>
  <c r="I39" i="6"/>
  <c r="I54" i="6"/>
  <c r="I84" i="6"/>
  <c r="I71" i="6"/>
  <c r="E77" i="6"/>
  <c r="E78" i="6" s="1"/>
  <c r="E79" i="6" s="1"/>
  <c r="E86" i="6" s="1"/>
  <c r="D40" i="6"/>
  <c r="H40" i="6"/>
  <c r="H77" i="6"/>
  <c r="C72" i="6"/>
  <c r="C77" i="6" s="1"/>
  <c r="C78" i="6" s="1"/>
  <c r="C79" i="6" s="1"/>
  <c r="C86" i="6" s="1"/>
  <c r="B48" i="6"/>
  <c r="I48" i="6" s="1"/>
  <c r="B59" i="6"/>
  <c r="B85" i="6"/>
  <c r="I85" i="6" s="1"/>
  <c r="I10" i="6"/>
  <c r="I18" i="6"/>
  <c r="I31" i="6"/>
  <c r="D44" i="6"/>
  <c r="F63" i="6"/>
  <c r="F72" i="6" s="1"/>
  <c r="F77" i="6" s="1"/>
  <c r="F71" i="6"/>
  <c r="I74" i="6"/>
  <c r="I23" i="6"/>
  <c r="I7" i="6"/>
  <c r="I27" i="6"/>
  <c r="I34" i="6"/>
  <c r="I44" i="6"/>
  <c r="I51" i="6"/>
  <c r="D66" i="6"/>
  <c r="D72" i="6" s="1"/>
  <c r="I69" i="6"/>
  <c r="D10" i="1"/>
  <c r="E10" i="1"/>
  <c r="F10" i="1"/>
  <c r="G10" i="1"/>
  <c r="C10" i="1"/>
  <c r="G11" i="1"/>
  <c r="F11" i="1"/>
  <c r="G9" i="1"/>
  <c r="G12" i="1"/>
  <c r="G95" i="2" l="1"/>
  <c r="L79" i="2"/>
  <c r="M11" i="2"/>
  <c r="G110" i="2"/>
  <c r="M65" i="2"/>
  <c r="L101" i="2"/>
  <c r="H102" i="2"/>
  <c r="G101" i="2"/>
  <c r="J67" i="2"/>
  <c r="D84" i="2"/>
  <c r="D79" i="2"/>
  <c r="D67" i="2"/>
  <c r="M12" i="2"/>
  <c r="G29" i="2"/>
  <c r="M49" i="2"/>
  <c r="K60" i="2"/>
  <c r="M60" i="2" s="1"/>
  <c r="K43" i="2"/>
  <c r="M63" i="2"/>
  <c r="L60" i="2"/>
  <c r="M41" i="2"/>
  <c r="M39" i="2"/>
  <c r="M40" i="2"/>
  <c r="K95" i="2"/>
  <c r="M62" i="2"/>
  <c r="M73" i="2"/>
  <c r="M52" i="2"/>
  <c r="L50" i="2"/>
  <c r="L36" i="2"/>
  <c r="M22" i="2"/>
  <c r="M79" i="2"/>
  <c r="M77" i="2"/>
  <c r="E96" i="2"/>
  <c r="E102" i="2" s="1"/>
  <c r="G79" i="2"/>
  <c r="M28" i="2"/>
  <c r="L14" i="2"/>
  <c r="M38" i="2"/>
  <c r="L43" i="2"/>
  <c r="M43" i="2" s="1"/>
  <c r="F44" i="2"/>
  <c r="K67" i="2"/>
  <c r="M67" i="2" s="1"/>
  <c r="F96" i="2"/>
  <c r="F102" i="2" s="1"/>
  <c r="M26" i="2"/>
  <c r="L95" i="2"/>
  <c r="D50" i="2"/>
  <c r="K50" i="2"/>
  <c r="M50" i="2" s="1"/>
  <c r="D14" i="2"/>
  <c r="K14" i="2"/>
  <c r="I44" i="2"/>
  <c r="J16" i="2"/>
  <c r="J60" i="2"/>
  <c r="G14" i="2"/>
  <c r="E15" i="2"/>
  <c r="D101" i="2"/>
  <c r="K101" i="2"/>
  <c r="M101" i="2" s="1"/>
  <c r="L89" i="2"/>
  <c r="M89" i="2" s="1"/>
  <c r="I96" i="2"/>
  <c r="J96" i="2" s="1"/>
  <c r="M21" i="2"/>
  <c r="L67" i="2"/>
  <c r="D36" i="2"/>
  <c r="K36" i="2"/>
  <c r="L29" i="2"/>
  <c r="G24" i="2"/>
  <c r="E44" i="2"/>
  <c r="C44" i="2"/>
  <c r="J74" i="2"/>
  <c r="B15" i="2"/>
  <c r="D74" i="2"/>
  <c r="B96" i="2"/>
  <c r="K74" i="2"/>
  <c r="D110" i="2"/>
  <c r="K110" i="2"/>
  <c r="M110" i="2" s="1"/>
  <c r="B111" i="2"/>
  <c r="L84" i="2"/>
  <c r="M84" i="2" s="1"/>
  <c r="C96" i="2"/>
  <c r="C102" i="2" s="1"/>
  <c r="L74" i="2"/>
  <c r="D89" i="2"/>
  <c r="G74" i="2"/>
  <c r="K24" i="2"/>
  <c r="B44" i="2"/>
  <c r="D24" i="2"/>
  <c r="H44" i="2"/>
  <c r="D43" i="2"/>
  <c r="D29" i="2"/>
  <c r="K29" i="2"/>
  <c r="J14" i="2"/>
  <c r="J15" i="2"/>
  <c r="C15" i="2"/>
  <c r="K33" i="2"/>
  <c r="M33" i="2" s="1"/>
  <c r="L24" i="2"/>
  <c r="I63" i="6"/>
  <c r="D78" i="6"/>
  <c r="D79" i="6" s="1"/>
  <c r="D86" i="6" s="1"/>
  <c r="I40" i="6"/>
  <c r="D77" i="6"/>
  <c r="I14" i="6"/>
  <c r="I59" i="6"/>
  <c r="B72" i="6"/>
  <c r="H78" i="6"/>
  <c r="H79" i="6" s="1"/>
  <c r="H86" i="6" s="1"/>
  <c r="F78" i="6"/>
  <c r="F79" i="6" s="1"/>
  <c r="F86" i="6" s="1"/>
  <c r="M95" i="2" l="1"/>
  <c r="M36" i="2"/>
  <c r="M14" i="2"/>
  <c r="I102" i="2"/>
  <c r="J102" i="2" s="1"/>
  <c r="G102" i="2"/>
  <c r="F103" i="2"/>
  <c r="F105" i="2" s="1"/>
  <c r="F112" i="2" s="1"/>
  <c r="M74" i="2"/>
  <c r="G96" i="2"/>
  <c r="L96" i="2"/>
  <c r="D111" i="2"/>
  <c r="K111" i="2"/>
  <c r="M111" i="2" s="1"/>
  <c r="K96" i="2"/>
  <c r="D96" i="2"/>
  <c r="C103" i="2"/>
  <c r="L44" i="2"/>
  <c r="L15" i="2"/>
  <c r="C16" i="2"/>
  <c r="D44" i="2"/>
  <c r="K44" i="2"/>
  <c r="M44" i="2" s="1"/>
  <c r="H103" i="2"/>
  <c r="J44" i="2"/>
  <c r="M24" i="2"/>
  <c r="E103" i="2"/>
  <c r="G103" i="2" s="1"/>
  <c r="G44" i="2"/>
  <c r="M29" i="2"/>
  <c r="G15" i="2"/>
  <c r="E16" i="2"/>
  <c r="B102" i="2"/>
  <c r="D15" i="2"/>
  <c r="K15" i="2"/>
  <c r="B16" i="2"/>
  <c r="I103" i="2"/>
  <c r="I105" i="2" s="1"/>
  <c r="I112" i="2" s="1"/>
  <c r="I72" i="6"/>
  <c r="B77" i="6"/>
  <c r="L102" i="2" l="1"/>
  <c r="M15" i="2"/>
  <c r="M96" i="2"/>
  <c r="D16" i="2"/>
  <c r="K16" i="2"/>
  <c r="J103" i="2"/>
  <c r="H105" i="2"/>
  <c r="C105" i="2"/>
  <c r="L16" i="2"/>
  <c r="E105" i="2"/>
  <c r="G16" i="2"/>
  <c r="D102" i="2"/>
  <c r="K102" i="2"/>
  <c r="M102" i="2" s="1"/>
  <c r="B103" i="2"/>
  <c r="E114" i="2" s="1"/>
  <c r="L103" i="2"/>
  <c r="I77" i="6"/>
  <c r="B78" i="6"/>
  <c r="F9" i="1"/>
  <c r="D103" i="2" l="1"/>
  <c r="K103" i="2"/>
  <c r="M103" i="2" s="1"/>
  <c r="E112" i="2"/>
  <c r="G112" i="2" s="1"/>
  <c r="G105" i="2"/>
  <c r="M16" i="2"/>
  <c r="L105" i="2"/>
  <c r="C112" i="2"/>
  <c r="L112" i="2" s="1"/>
  <c r="H112" i="2"/>
  <c r="J112" i="2" s="1"/>
  <c r="J105" i="2"/>
  <c r="B105" i="2"/>
  <c r="I78" i="6"/>
  <c r="B79" i="6"/>
  <c r="F12" i="1"/>
  <c r="D105" i="2" l="1"/>
  <c r="K105" i="2"/>
  <c r="M105" i="2" s="1"/>
  <c r="B112" i="2"/>
  <c r="I79" i="6"/>
  <c r="B86" i="6"/>
  <c r="I86" i="6" s="1"/>
  <c r="D112" i="2" l="1"/>
  <c r="K112" i="2"/>
  <c r="M112" i="2" s="1"/>
  <c r="E9" i="1"/>
  <c r="E12" i="1"/>
  <c r="G25" i="5"/>
  <c r="G23" i="5"/>
  <c r="F25" i="5"/>
  <c r="F18" i="5"/>
  <c r="J17" i="1" l="1"/>
  <c r="K17" i="1"/>
  <c r="L17" i="1"/>
  <c r="M17" i="1"/>
  <c r="N17" i="1"/>
  <c r="J18" i="1"/>
  <c r="K18" i="1"/>
  <c r="L18" i="1"/>
  <c r="M18" i="1"/>
  <c r="N18" i="1"/>
  <c r="J9" i="1"/>
  <c r="K9" i="1"/>
  <c r="L9" i="1"/>
  <c r="M9" i="1"/>
  <c r="N9" i="1"/>
  <c r="J10" i="1"/>
  <c r="K10" i="1"/>
  <c r="L10" i="1"/>
  <c r="M10" i="1"/>
  <c r="N10" i="1"/>
  <c r="J12" i="1"/>
  <c r="K12" i="1"/>
  <c r="L12" i="1"/>
  <c r="M12" i="1"/>
  <c r="N12" i="1"/>
  <c r="J13" i="1"/>
  <c r="K13" i="1"/>
  <c r="L13" i="1"/>
  <c r="M13" i="1"/>
  <c r="N13" i="1"/>
  <c r="F7" i="5"/>
  <c r="B21" i="1"/>
  <c r="B14" i="1" l="1"/>
  <c r="D9" i="1"/>
  <c r="C9" i="1"/>
  <c r="D12" i="1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8" i="5"/>
  <c r="F9" i="5"/>
  <c r="F10" i="5"/>
  <c r="F11" i="5"/>
  <c r="F12" i="5"/>
  <c r="F13" i="5"/>
  <c r="F14" i="5"/>
  <c r="F15" i="5"/>
  <c r="F16" i="5"/>
  <c r="F17" i="5"/>
  <c r="F19" i="5"/>
  <c r="F20" i="5"/>
  <c r="F21" i="5"/>
  <c r="F22" i="5"/>
  <c r="F23" i="5"/>
  <c r="F24" i="5"/>
  <c r="E129" i="5"/>
  <c r="E136" i="5" s="1"/>
  <c r="E128" i="5"/>
  <c r="D128" i="5"/>
  <c r="D129" i="5" s="1"/>
  <c r="I123" i="5"/>
  <c r="I25" i="5"/>
  <c r="D14" i="1" l="1"/>
  <c r="C19" i="1"/>
  <c r="D19" i="1"/>
  <c r="C12" i="1"/>
  <c r="E135" i="5"/>
  <c r="I14" i="1" l="1"/>
  <c r="C20" i="1"/>
  <c r="D20" i="1"/>
  <c r="I20" i="1" l="1"/>
  <c r="C21" i="1"/>
  <c r="D21" i="1" s="1"/>
  <c r="J14" i="1" l="1"/>
  <c r="J20" i="1" s="1"/>
  <c r="K19" i="1" l="1"/>
  <c r="M19" i="1" l="1"/>
  <c r="N14" i="1"/>
  <c r="N20" i="1" s="1"/>
  <c r="L19" i="1"/>
  <c r="M14" i="1"/>
  <c r="M20" i="1" s="1"/>
  <c r="J19" i="1"/>
  <c r="L14" i="1"/>
  <c r="L20" i="1" s="1"/>
  <c r="K14" i="1"/>
  <c r="K20" i="1" s="1"/>
  <c r="N19" i="1" l="1"/>
  <c r="F14" i="1"/>
  <c r="E14" i="1"/>
  <c r="G14" i="1"/>
  <c r="H14" i="1"/>
  <c r="E19" i="1"/>
  <c r="G19" i="1"/>
  <c r="E20" i="1" l="1"/>
  <c r="F20" i="1"/>
  <c r="G20" i="1"/>
  <c r="H20" i="1"/>
  <c r="F19" i="1"/>
  <c r="H19" i="1"/>
  <c r="I19" i="1" l="1"/>
  <c r="E21" i="1"/>
  <c r="F21" i="1" s="1"/>
  <c r="G21" i="1" s="1"/>
  <c r="H21" i="1" s="1"/>
  <c r="I21" i="1" l="1"/>
  <c r="J21" i="1" s="1"/>
  <c r="K21" i="1" s="1"/>
  <c r="L21" i="1" s="1"/>
  <c r="M21" i="1" s="1"/>
  <c r="N21" i="1" s="1"/>
</calcChain>
</file>

<file path=xl/sharedStrings.xml><?xml version="1.0" encoding="utf-8"?>
<sst xmlns="http://schemas.openxmlformats.org/spreadsheetml/2006/main" count="455" uniqueCount="332">
  <si>
    <t>Chesapeake Legal Alliance (CLA)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</si>
  <si>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</si>
  <si>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</si>
  <si>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</si>
  <si>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</si>
  <si>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</si>
  <si>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</si>
  <si>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</si>
  <si>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</si>
  <si>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</si>
  <si>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</si>
  <si>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</si>
  <si>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</si>
  <si>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</si>
  <si>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</si>
  <si>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Beginning Cash*</t>
  </si>
  <si>
    <t>Foundation Grants</t>
  </si>
  <si>
    <t>Corporation Contributions</t>
  </si>
  <si>
    <t>Individual Contributions</t>
  </si>
  <si>
    <t>Interest &amp; Dividend Income</t>
  </si>
  <si>
    <t>Expenses</t>
  </si>
  <si>
    <t>Fixed Expenses</t>
  </si>
  <si>
    <t>Variable Expenses</t>
  </si>
  <si>
    <t xml:space="preserve">Total Expenses </t>
  </si>
  <si>
    <t>Net Income</t>
  </si>
  <si>
    <t>Operating Cash Flow</t>
  </si>
  <si>
    <t>Total</t>
  </si>
  <si>
    <t xml:space="preserve">   4000 Foundation Grants</t>
  </si>
  <si>
    <t xml:space="preserve">   4100 Corporation Contributions</t>
  </si>
  <si>
    <t xml:space="preserve">   4300 Individual Contributions</t>
  </si>
  <si>
    <t xml:space="preserve">      4301 Board of Director Contributions</t>
  </si>
  <si>
    <t xml:space="preserve">      4302 Board of Advisor Contributions</t>
  </si>
  <si>
    <t xml:space="preserve">   Total 4300 Individual Contributions</t>
  </si>
  <si>
    <t>Total Revenue</t>
  </si>
  <si>
    <t>Gross Profit</t>
  </si>
  <si>
    <t xml:space="preserve">   FIXED EXPENSES</t>
  </si>
  <si>
    <t xml:space="preserve">      FINANCIAL SERVICES</t>
  </si>
  <si>
    <t xml:space="preserve">         5301 Accounting Fees</t>
  </si>
  <si>
    <t xml:space="preserve">         5302 Bank &amp; Credit Card Fees</t>
  </si>
  <si>
    <t xml:space="preserve">      Total FINANCIAL SERVICES</t>
  </si>
  <si>
    <t xml:space="preserve">      LEGAL &amp; Compliance</t>
  </si>
  <si>
    <t xml:space="preserve">         5500 Misc. Compliance</t>
  </si>
  <si>
    <t xml:space="preserve">         5501 Insurance Expense</t>
  </si>
  <si>
    <t xml:space="preserve">      Total LEGAL &amp; Compliance</t>
  </si>
  <si>
    <t xml:space="preserve">      OCCUPANCY</t>
  </si>
  <si>
    <t xml:space="preserve">         5200 Office Rent</t>
  </si>
  <si>
    <t xml:space="preserve">         5201 Telephone, Internet &amp; Utilities</t>
  </si>
  <si>
    <t xml:space="preserve">      Total OCCUPANCY</t>
  </si>
  <si>
    <t xml:space="preserve">      OFFICE</t>
  </si>
  <si>
    <t xml:space="preserve">         5600 Office Supplies</t>
  </si>
  <si>
    <t xml:space="preserve">      Total OFFICE</t>
  </si>
  <si>
    <t xml:space="preserve">      STAFF EXPENSES</t>
  </si>
  <si>
    <t xml:space="preserve">         5100 Salaries &amp; Wages</t>
  </si>
  <si>
    <t xml:space="preserve">         5101 Payroll Taxes</t>
  </si>
  <si>
    <t xml:space="preserve">         5102 Benefits (Health &amp; 401K)</t>
  </si>
  <si>
    <t xml:space="preserve">         5104 Payroll Processing Expense</t>
  </si>
  <si>
    <t xml:space="preserve">         5105 Staff Recruiting</t>
  </si>
  <si>
    <t xml:space="preserve">      Total STAFF EXPENSES</t>
  </si>
  <si>
    <t xml:space="preserve">   Total FIXED EXPENSES</t>
  </si>
  <si>
    <t xml:space="preserve">   VARIABLE EXPENSES</t>
  </si>
  <si>
    <t xml:space="preserve">      BUSINESS ENTERTAINMENT</t>
  </si>
  <si>
    <t xml:space="preserve">         6100 Board Expense</t>
  </si>
  <si>
    <t xml:space="preserve">         6101 Business Meetings/Meals</t>
  </si>
  <si>
    <t xml:space="preserve">      Total BUSINESS ENTERTAINMENT</t>
  </si>
  <si>
    <t xml:space="preserve">         6202 Outreach</t>
  </si>
  <si>
    <t xml:space="preserve">         6204 Fundraising Event Expenses</t>
  </si>
  <si>
    <t xml:space="preserve">      GENERAL CLA PROGRAM EXPENSES</t>
  </si>
  <si>
    <t xml:space="preserve">         6400 General Program Expenses</t>
  </si>
  <si>
    <t xml:space="preserve">         6404 Contract Services</t>
  </si>
  <si>
    <t xml:space="preserve">         6406 Legal &amp; Professional Dues</t>
  </si>
  <si>
    <t xml:space="preserve">         6407 Travel</t>
  </si>
  <si>
    <t xml:space="preserve">      Total GENERAL CLA PROGRAM EXPENSES</t>
  </si>
  <si>
    <t xml:space="preserve">      INDIVIDUAL PROGRAM EXPENSES</t>
  </si>
  <si>
    <t xml:space="preserve">            6500.1 Conference/Event</t>
  </si>
  <si>
    <t xml:space="preserve">            6500.2 Software</t>
  </si>
  <si>
    <t xml:space="preserve">            6500.3 Travel</t>
  </si>
  <si>
    <t xml:space="preserve">            6500.4 Litigation Expenses</t>
  </si>
  <si>
    <t xml:space="preserve">            6501.1 Conference/Event</t>
  </si>
  <si>
    <t xml:space="preserve">            6501.3 Travel</t>
  </si>
  <si>
    <t xml:space="preserve">         6502 Legal Innovation Program</t>
  </si>
  <si>
    <t xml:space="preserve">            6502.1 Conference/Event</t>
  </si>
  <si>
    <t xml:space="preserve">            6502.2 Software</t>
  </si>
  <si>
    <t xml:space="preserve">            6502.3 Travel</t>
  </si>
  <si>
    <t xml:space="preserve">         Total 6502 Legal Innovation Program</t>
  </si>
  <si>
    <t xml:space="preserve">            6503.1 Conference/Event</t>
  </si>
  <si>
    <t xml:space="preserve">            6503.3 Travel</t>
  </si>
  <si>
    <t xml:space="preserve">            6504.1 Conference/Event</t>
  </si>
  <si>
    <t xml:space="preserve">            6504.2 Software</t>
  </si>
  <si>
    <t xml:space="preserve">            6504.3 Travel</t>
  </si>
  <si>
    <t xml:space="preserve">      Total INDIVIDUAL PROGRAM EXPENSES</t>
  </si>
  <si>
    <t xml:space="preserve">      TECHNOLOGY</t>
  </si>
  <si>
    <t xml:space="preserve">         6001 Software Expense</t>
  </si>
  <si>
    <t xml:space="preserve">         6002 Technical Support Expense</t>
  </si>
  <si>
    <t xml:space="preserve">      Total TECHNOLOGY</t>
  </si>
  <si>
    <t xml:space="preserve">   Total VARIABLE EXPENSES</t>
  </si>
  <si>
    <t>Total Expenditures</t>
  </si>
  <si>
    <t>Net Operating Revenue</t>
  </si>
  <si>
    <t>Other Revenue</t>
  </si>
  <si>
    <t>Total Other Revenue</t>
  </si>
  <si>
    <t>Net Other Revenue</t>
  </si>
  <si>
    <t>Net Revenue</t>
  </si>
  <si>
    <t>Revenue</t>
  </si>
  <si>
    <t>Expenditures</t>
  </si>
  <si>
    <t xml:space="preserve">   9100 Interest Income</t>
  </si>
  <si>
    <t>Statement of Activity</t>
  </si>
  <si>
    <t xml:space="preserve">   Dividend Income</t>
  </si>
  <si>
    <t>Budget</t>
  </si>
  <si>
    <t>Fundraising Revenue</t>
  </si>
  <si>
    <t>Projected Expenses</t>
  </si>
  <si>
    <t xml:space="preserve">               6500.1 Conference/Event</t>
  </si>
  <si>
    <t xml:space="preserve">               6500.4 Litigation Expenses</t>
  </si>
  <si>
    <t xml:space="preserve">               6501.1 Conference/Event</t>
  </si>
  <si>
    <t xml:space="preserve">               6502.1 Conference/Event</t>
  </si>
  <si>
    <t>Total EXPENSES</t>
  </si>
  <si>
    <t>DRAFT BUDGET FY23 - Grants</t>
  </si>
  <si>
    <t>(July 1, 2022 - June 30, 2023)</t>
  </si>
  <si>
    <t>FY23 Projected Revenue (rejected 6/27)</t>
  </si>
  <si>
    <t>FY 2022 
BUDGET</t>
  </si>
  <si>
    <t>FY22 Actuals</t>
  </si>
  <si>
    <t>DRAFT FY23 (pending approval)</t>
  </si>
  <si>
    <t>Code change</t>
  </si>
  <si>
    <t>Allocate to specific months</t>
  </si>
  <si>
    <t>Allocation notes for FY23</t>
  </si>
  <si>
    <t>Coding Notes for Beau</t>
  </si>
  <si>
    <r>
      <rPr>
        <sz val="12"/>
        <color rgb="FF000000"/>
        <rFont val="Calibri"/>
        <family val="2"/>
      </rPr>
      <t xml:space="preserve">4000 Foundation Grants
</t>
    </r>
    <r>
      <rPr>
        <sz val="9"/>
        <color rgb="FF000000"/>
        <rFont val="Calibri"/>
        <family val="2"/>
      </rPr>
      <t>(does not include Town Creek funds)</t>
    </r>
  </si>
  <si>
    <t>Do not allocate any grants to 4000. All grants must be unrestricted or restricted</t>
  </si>
  <si>
    <t xml:space="preserve">       4000.1 Unresrestricted Grants</t>
  </si>
  <si>
    <t>new code</t>
  </si>
  <si>
    <t xml:space="preserve">       4000.2 Restricted Grants</t>
  </si>
  <si>
    <t>Total Grant Revenue</t>
  </si>
  <si>
    <t>Donor Revenue</t>
  </si>
  <si>
    <t>4100 Corporate</t>
  </si>
  <si>
    <t xml:space="preserve">utilize LGL to run reports on subgroups for giving, such as law firms; note for 2021/22, ~$10K of corporate was allocated to </t>
  </si>
  <si>
    <t>4200 Law Firm Contributions</t>
  </si>
  <si>
    <t>delete code &amp; move expenses to another existing code</t>
  </si>
  <si>
    <t>4300 Individual/Public</t>
  </si>
  <si>
    <t>*specific fundraising initiative for law clerk program ($5-15k)</t>
  </si>
  <si>
    <t>4301 Board of Director</t>
  </si>
  <si>
    <t>4302 Board of Advisor</t>
  </si>
  <si>
    <t>4303 Client Contributions</t>
  </si>
  <si>
    <t>Delete this category, lump into 4300</t>
  </si>
  <si>
    <t>Total Donor Revenue</t>
  </si>
  <si>
    <t>XXXX Program Revenue</t>
  </si>
  <si>
    <t>subgrants, attorneys fees</t>
  </si>
  <si>
    <t>9100  Interest Income</t>
  </si>
  <si>
    <t>XXXX Investment/Dividend Income</t>
  </si>
  <si>
    <t>needs code #</t>
  </si>
  <si>
    <t xml:space="preserve">
2.5% on $1.2M in VFSUX</t>
  </si>
  <si>
    <t xml:space="preserve">This category exists in QB but doesn't have a number </t>
  </si>
  <si>
    <t>Where do the PPP funds show up in our 2020 and 2021 QB? I don't see it on the statement of activity</t>
  </si>
  <si>
    <t>Funds Released From Restriction (Town Creek)</t>
  </si>
  <si>
    <t>TOTAL OPERATING FUNDS</t>
  </si>
  <si>
    <t>FIXED EXPENSES</t>
  </si>
  <si>
    <t>FINANCIAL SERVICES</t>
  </si>
  <si>
    <t>5301 Accounting Fees</t>
  </si>
  <si>
    <t>5302 Bank &amp; Transaction Fees</t>
  </si>
  <si>
    <t>this includes stripe fees for online donations</t>
  </si>
  <si>
    <t>XXXX Debt Service (SBA EIDL Loan @ $150K)</t>
  </si>
  <si>
    <t>repayment starts 3/31/22 ($641/mth or $7700/yr)</t>
  </si>
  <si>
    <t>Total FINANCIAL SERVICES</t>
  </si>
  <si>
    <t>LEGAL &amp; COMPLIANCE</t>
  </si>
  <si>
    <t>5500 Misc. Compliance</t>
  </si>
  <si>
    <t>5501 Insurance Expense</t>
  </si>
  <si>
    <t>ID when each insurance policy gets paid and allocate to that month in QB; are we allocating Workers Comp here?</t>
  </si>
  <si>
    <t>5502 Charity Registration Fees</t>
  </si>
  <si>
    <t>Total LEGAL &amp; Compliance</t>
  </si>
  <si>
    <t>OCCUPANCY</t>
  </si>
  <si>
    <t>5200 Office Rent</t>
  </si>
  <si>
    <t>***potential to cut rent, but pay for conference room(s) $3000</t>
  </si>
  <si>
    <t>5201 Telephone, Internet &amp; Utilities</t>
  </si>
  <si>
    <t>[does this include internet???] move Zoom to 6001; keep cell phone reimbursements here (9 employees at $25/month)</t>
  </si>
  <si>
    <t>5202 Office Improvements / Furniture</t>
  </si>
  <si>
    <t>down to 200</t>
  </si>
  <si>
    <t>Total OCCUPANCY</t>
  </si>
  <si>
    <t>OFFICE</t>
  </si>
  <si>
    <t>5600 Office Supplies &amp; general postage</t>
  </si>
  <si>
    <t>office-related postage also goes here. ???Can we reduce to 2500???</t>
  </si>
  <si>
    <t>Total OFFICE</t>
  </si>
  <si>
    <t>STAFF EXPENSES</t>
  </si>
  <si>
    <t>5100 Salaries &amp; Wages</t>
  </si>
  <si>
    <t>see question re workers comp above. do we need to reduce this # for next FY?</t>
  </si>
  <si>
    <t>5101 Payroll Taxes</t>
  </si>
  <si>
    <t>Eugene - please check last 12 months. is this a correct estimate?</t>
  </si>
  <si>
    <t>Get accurate number from Beau</t>
  </si>
  <si>
    <t>5102 Benefits (Health &amp; 401K + admin fees)</t>
  </si>
  <si>
    <t>Find out if escrow account is needed</t>
  </si>
  <si>
    <t>*** should be 78k</t>
  </si>
  <si>
    <t>5104 Payroll Processing Expense</t>
  </si>
  <si>
    <t>5105 Staff Recruiting</t>
  </si>
  <si>
    <t>half</t>
  </si>
  <si>
    <t>Total STAFF EXPENSES</t>
  </si>
  <si>
    <t>Total FIXED EXPENSES</t>
  </si>
  <si>
    <t>VARIABLE EXPENSES</t>
  </si>
  <si>
    <t>BUSINESS ENTERTAINMENT</t>
  </si>
  <si>
    <t>6100 Board Expense</t>
  </si>
  <si>
    <t>6101 Business Meetings/Meals</t>
  </si>
  <si>
    <t>Total BUSINESS ENTERTAINMENT</t>
  </si>
  <si>
    <t>FUNDRAISING</t>
  </si>
  <si>
    <t>6200 Donor Mailing &amp; postage</t>
  </si>
  <si>
    <t>update category info</t>
  </si>
  <si>
    <t>changed name (not code #) from "Postage" to "Donor Mailing"</t>
  </si>
  <si>
    <t>XXXX Professional Development</t>
  </si>
  <si>
    <t>XXXX Donor Meals/Meetings</t>
  </si>
  <si>
    <t>XXXX Program Supplies</t>
  </si>
  <si>
    <t>XXXX Travel</t>
  </si>
  <si>
    <t>6202 Outreach</t>
  </si>
  <si>
    <t>delete this category</t>
  </si>
  <si>
    <t>6204 Fundraising Event Expenses</t>
  </si>
  <si>
    <t>6208 Contract Services</t>
  </si>
  <si>
    <t>graphic designer, etc): down to 2000</t>
  </si>
  <si>
    <t>6300 Advertising Expense</t>
  </si>
  <si>
    <t>Total FUNDRAISING</t>
  </si>
  <si>
    <t>GENERAL PROGRAM EXPENSES</t>
  </si>
  <si>
    <t>6400 General Program Expenses</t>
  </si>
  <si>
    <t>6404 Contract Services</t>
  </si>
  <si>
    <t>CouncilFire $23K; Due East $17K; design contractor</t>
  </si>
  <si>
    <t>6406 Legal &amp; Professional Dues</t>
  </si>
  <si>
    <t>6407 Travel</t>
  </si>
  <si>
    <t>XXXX Legal Software</t>
  </si>
  <si>
    <t>Lexis ($2000), Legal Server ($11K) *** potential for cutting Legal Server</t>
  </si>
  <si>
    <t>Total GENERAL PROGRAM EXPENSES</t>
  </si>
  <si>
    <t>PROGRAM EXPENSES BY CENTER</t>
  </si>
  <si>
    <t>ENVIRONMENTAL ACTION CENTER</t>
  </si>
  <si>
    <t># FTE</t>
  </si>
  <si>
    <t>6500 Litigation Program</t>
  </si>
  <si>
    <t>change name from Direct Client Services</t>
  </si>
  <si>
    <t xml:space="preserve">               6500.2 Program Software/Materials</t>
  </si>
  <si>
    <t>LexisNexis moved to 6408; $1K allocated for legal books, practice guides</t>
  </si>
  <si>
    <t xml:space="preserve">               6500.3 Travel (non-conference related)</t>
  </si>
  <si>
    <t>Subotal Litigation</t>
  </si>
  <si>
    <t>6502 Legal Innovation Program</t>
  </si>
  <si>
    <t xml:space="preserve">               6502.2 Program Software/Materials</t>
  </si>
  <si>
    <t xml:space="preserve">               6502.3 Travel (non-conference related)</t>
  </si>
  <si>
    <t>Subotal Legal Innovation</t>
  </si>
  <si>
    <t>6503 Research Program</t>
  </si>
  <si>
    <t xml:space="preserve">               6503.1 Conference/Event</t>
  </si>
  <si>
    <t xml:space="preserve">               6503.2 Program Software/Materials</t>
  </si>
  <si>
    <t>ArcGIS</t>
  </si>
  <si>
    <t xml:space="preserve">               6503.3 Travel (non-conference related)</t>
  </si>
  <si>
    <t xml:space="preserve">Subotal Research </t>
  </si>
  <si>
    <t>Total ENVIRONMENTAL ACTION CENTER</t>
  </si>
  <si>
    <t>OUTREACH CENTER</t>
  </si>
  <si>
    <t>Change name from Pro Bono Program;
can we remove code category?</t>
  </si>
  <si>
    <t xml:space="preserve">            6504.2 Program Software/Materials</t>
  </si>
  <si>
    <t>Legal Server moved to 6408</t>
  </si>
  <si>
    <t xml:space="preserve">            6504.3 Travel (non-conference related)</t>
  </si>
  <si>
    <t xml:space="preserve">            xxxx Branded Materials</t>
  </si>
  <si>
    <t>S.W.A.G., brochures, conference materials</t>
  </si>
  <si>
    <t>Total OUTREACH CENTER</t>
  </si>
  <si>
    <t>COMMUNITY LEGAL EDUCATION CENTER</t>
  </si>
  <si>
    <t>Change name from Legal Education Program; can we remove code category?</t>
  </si>
  <si>
    <t>reduce 25%</t>
  </si>
  <si>
    <t xml:space="preserve">               6501.2 Program Software/Materials</t>
  </si>
  <si>
    <t>Zoom Webinar moved to 6001</t>
  </si>
  <si>
    <t xml:space="preserve">               6501.3 Travel (non-conference related)</t>
  </si>
  <si>
    <t xml:space="preserve">               6501.4 Law Clerk Expenses</t>
  </si>
  <si>
    <t>2 law clerk Stipends of $4500 with 50% payment in May, 50% in July. $1000 for clerk activities/gifts</t>
  </si>
  <si>
    <t>Total COMMUNITY LEGAL EDUCATION CENTER</t>
  </si>
  <si>
    <t>Total CENTER EXPENSES</t>
  </si>
  <si>
    <t>TECHNOLOGY</t>
  </si>
  <si>
    <t>6000 Hardware Expense</t>
  </si>
  <si>
    <t>6001 Software Expense</t>
  </si>
  <si>
    <t>Zoom meetings, phone, &amp; webinar ($1500), LGL ($700) , Mailchimp ($250), Doodle ($85), Asana ($1500), Vimeo ($90) AND Other ($500, virus protection, Adobe, Dropbox)</t>
  </si>
  <si>
    <t>6002 Technical Support Expense</t>
  </si>
  <si>
    <t>half?</t>
  </si>
  <si>
    <t>6003 Website Maintenance/Updates</t>
  </si>
  <si>
    <t>1500?</t>
  </si>
  <si>
    <t>Total TECHNOLOGY</t>
  </si>
  <si>
    <t>Total VARIABLE EXPENSES</t>
  </si>
  <si>
    <t>FY23 Projected (REVISED)</t>
  </si>
  <si>
    <t>NET OPERATING FUNDS</t>
  </si>
  <si>
    <t>Beginning cash on  hand</t>
  </si>
  <si>
    <t>$181,644 plus vanguard</t>
  </si>
  <si>
    <t>CLA Reserve (restricted for future use)*</t>
  </si>
  <si>
    <t>Potential additional income: 75% likelihood***</t>
  </si>
  <si>
    <t>Potential additional income: 50% likelihood****</t>
  </si>
  <si>
    <t>Net Revenue***</t>
  </si>
  <si>
    <t>Net Revenue****</t>
  </si>
  <si>
    <t>***This is based on reasonable likelihood of receiving $225k (by percent likelihood)</t>
  </si>
  <si>
    <t>(75%) 150k: $100k attorneys fees + $50k Shared Earth legacy grant</t>
  </si>
  <si>
    <t>(50%) 75k: Grants: $10k Venable Foundation, $20k Patagonia, $20k Dietel, $20k Pisces; Individual Contributions: $5k from Trappe residents</t>
  </si>
  <si>
    <t>Note that we are fundraising around law clerks ($5-15k).</t>
  </si>
  <si>
    <t>Approved by the Board of Directors on [DATE]</t>
  </si>
  <si>
    <t>David Reed</t>
  </si>
  <si>
    <t>Executive Director</t>
  </si>
  <si>
    <t>Note:
Beginning July 1, 2021, CLA changed its fiscal year from a calendar year to July-June.</t>
  </si>
  <si>
    <t>CLA 2022-2023 Cash Flow and Actual P&amp;L</t>
  </si>
  <si>
    <t>Chesapeake Legal Alliance</t>
  </si>
  <si>
    <t>Jul 2022</t>
  </si>
  <si>
    <t>Aug 2022</t>
  </si>
  <si>
    <t>Total Funds Available</t>
  </si>
  <si>
    <t xml:space="preserve">Budget vs. Actuals: CLA 2022 Budget - FY23 P&amp;L </t>
  </si>
  <si>
    <t xml:space="preserve">         5304 Bank loan Interest Expense</t>
  </si>
  <si>
    <t xml:space="preserve">         5502 Charity Registration Fees</t>
  </si>
  <si>
    <t xml:space="preserve">      FUNDRAISING</t>
  </si>
  <si>
    <t xml:space="preserve">         6200 Donor Mailing &amp; Postage</t>
  </si>
  <si>
    <t xml:space="preserve">         6205 Professional Development</t>
  </si>
  <si>
    <t xml:space="preserve">         6206 Donor Meals/Meetings</t>
  </si>
  <si>
    <t xml:space="preserve">         6207 Program Supplies</t>
  </si>
  <si>
    <t xml:space="preserve">         6208 Contract Services</t>
  </si>
  <si>
    <t xml:space="preserve">         6209 Travel</t>
  </si>
  <si>
    <t xml:space="preserve">      Total FUNDRAISING</t>
  </si>
  <si>
    <t xml:space="preserve">         6408 Legal Software</t>
  </si>
  <si>
    <t xml:space="preserve">         6500 Litigation Program</t>
  </si>
  <si>
    <t xml:space="preserve">         Total 6500 Litigation Program</t>
  </si>
  <si>
    <t xml:space="preserve">         6501 Community Legal Education Center</t>
  </si>
  <si>
    <t xml:space="preserve">            6501.4 Law Clerk Expenses</t>
  </si>
  <si>
    <t xml:space="preserve">         Total 6501 Community Legal Education Center</t>
  </si>
  <si>
    <t xml:space="preserve">         6503 Research Program</t>
  </si>
  <si>
    <t xml:space="preserve">            6503.2 Program Software/Materials</t>
  </si>
  <si>
    <t xml:space="preserve">         Total 6503 Research Program</t>
  </si>
  <si>
    <t xml:space="preserve">         6504 Outreach Center</t>
  </si>
  <si>
    <t xml:space="preserve">            6504.4 Branded Materials</t>
  </si>
  <si>
    <t xml:space="preserve">         Total 6504 Outreach Center</t>
  </si>
  <si>
    <t xml:space="preserve">         6003 Website Maintenance/Updates</t>
  </si>
  <si>
    <t>Sep 2022</t>
  </si>
  <si>
    <t>Oct 2022</t>
  </si>
  <si>
    <t>Variance</t>
  </si>
  <si>
    <t>Q1 Jul - Sep, 2022</t>
  </si>
  <si>
    <t>YTD</t>
  </si>
  <si>
    <t>Beginning Cash</t>
  </si>
  <si>
    <t>Ending Cash</t>
  </si>
  <si>
    <t>Legal Fees</t>
  </si>
  <si>
    <t>Nov 2022</t>
  </si>
  <si>
    <t xml:space="preserve">   4200 Legal Fees</t>
  </si>
  <si>
    <t>July 2022 - January 2023</t>
  </si>
  <si>
    <t>Dec 2022</t>
  </si>
  <si>
    <t>Jan 2023</t>
  </si>
  <si>
    <t xml:space="preserve">   Short Term Capital Gains</t>
  </si>
  <si>
    <t>Tuesday, Feb 14, 2023 11:49:01 AM GMT-8 - Accrual Basis</t>
  </si>
  <si>
    <t>July 2022 - January, 2023</t>
  </si>
  <si>
    <t>Q2 Oct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</si>
</sst>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\ _€"/>
    <numFmt numFmtId="166" formatCode="&quot;$&quot;#,##0"/>
    <numFmt numFmtId="167" formatCode="&quot;$&quot;* #,##0.00\ _€"/>
    <numFmt numFmtId="168" formatCode="#,##0;\(#,##0\)"/>
    <numFmt numFmtId="169" formatCode="#,##0.0;\(#,##0.0\)"/>
    <numFmt numFmtId="170" formatCode="&quot;$&quot;#,##0.000"/>
    <numFmt numFmtId="171" formatCode="&quot;$&quot;* #,##0\ _€"/>
  </numFmts>
  <fonts count="53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2"/>
      <color rgb="FF38761D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0"/>
      <color rgb="FF404040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b/>
      <i/>
      <sz val="12"/>
      <color rgb="FF980000"/>
      <name val="Calibri"/>
      <family val="2"/>
    </font>
    <font>
      <b/>
      <i/>
      <sz val="12"/>
      <color theme="1"/>
      <name val="Calibri"/>
      <family val="2"/>
    </font>
    <font>
      <b/>
      <sz val="10"/>
      <color rgb="FF404040"/>
      <name val="Arial"/>
      <family val="2"/>
    </font>
    <font>
      <strike/>
      <sz val="12"/>
      <color rgb="FF000000"/>
      <name val="Calibri"/>
      <family val="2"/>
    </font>
    <font>
      <sz val="10"/>
      <color rgb="FF404040"/>
      <name val="&quot;Avenir Next forINTUIT&quot;"/>
    </font>
    <font>
      <b/>
      <i/>
      <sz val="12"/>
      <color rgb="FF000000"/>
      <name val="Calibri"/>
      <family val="2"/>
    </font>
    <font>
      <b/>
      <sz val="12"/>
      <color rgb="FF98000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7"/>
      <color rgb="FF000000"/>
      <name val="Calibri"/>
      <family val="2"/>
    </font>
    <font>
      <b/>
      <sz val="12"/>
      <color rgb="FF274E13"/>
      <name val="Calibri"/>
      <family val="2"/>
    </font>
    <font>
      <sz val="10"/>
      <color rgb="FF274E13"/>
      <name val="Calibri"/>
      <family val="2"/>
    </font>
    <font>
      <b/>
      <sz val="12"/>
      <color rgb="FF548135"/>
      <name val="Calibri"/>
      <family val="2"/>
    </font>
    <font>
      <sz val="12"/>
      <color rgb="FF274E13"/>
      <name val="Calibri"/>
      <family val="2"/>
    </font>
    <font>
      <i/>
      <sz val="10"/>
      <color rgb="FF00000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DADADA"/>
        <bgColor rgb="FFDADADA"/>
      </patternFill>
    </fill>
    <fill>
      <patternFill patternType="solid">
        <fgColor rgb="FFAFBFAA"/>
        <bgColor rgb="FFAFBFAA"/>
      </patternFill>
    </fill>
    <fill>
      <patternFill patternType="solid">
        <fgColor rgb="FFFFFF00"/>
        <bgColor rgb="FFFFFF00"/>
      </patternFill>
    </fill>
    <fill>
      <patternFill patternType="solid">
        <fgColor rgb="FFD6DCE4"/>
        <bgColor rgb="FFD6DCE4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theme="9"/>
        <bgColor theme="9"/>
      </patternFill>
    </fill>
    <fill>
      <patternFill patternType="solid">
        <fgColor rgb="FF70AD47"/>
        <bgColor rgb="FF70AD47"/>
      </patternFill>
    </fill>
    <fill>
      <patternFill patternType="solid">
        <fgColor theme="5"/>
        <bgColor theme="5"/>
      </patternFill>
    </fill>
    <fill>
      <patternFill patternType="solid">
        <fgColor rgb="FFFF9900"/>
        <bgColor rgb="FFFF9900"/>
      </patternFill>
    </fill>
    <fill>
      <patternFill patternType="solid">
        <fgColor theme="8"/>
        <bgColor theme="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44" fontId="4" fillId="3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6" fillId="2" borderId="5" xfId="0" applyNumberFormat="1" applyFont="1" applyFill="1" applyBorder="1" applyAlignment="1">
      <alignment horizontal="right" vertical="center" wrapText="1"/>
    </xf>
    <xf numFmtId="164" fontId="4" fillId="4" borderId="6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3" fillId="0" borderId="0" xfId="0" applyFont="1"/>
    <xf numFmtId="164" fontId="4" fillId="2" borderId="4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/>
    </xf>
    <xf numFmtId="164" fontId="1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4" fillId="2" borderId="2" xfId="0" applyNumberFormat="1" applyFont="1" applyFill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right"/>
    </xf>
    <xf numFmtId="164" fontId="4" fillId="5" borderId="5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wrapText="1"/>
    </xf>
    <xf numFmtId="166" fontId="0" fillId="0" borderId="0" xfId="0" applyNumberFormat="1" applyAlignment="1">
      <alignment horizontal="right" wrapText="1"/>
    </xf>
    <xf numFmtId="44" fontId="1" fillId="0" borderId="0" xfId="0" applyNumberFormat="1" applyFont="1"/>
    <xf numFmtId="44" fontId="3" fillId="0" borderId="0" xfId="0" applyNumberFormat="1" applyFont="1"/>
    <xf numFmtId="0" fontId="0" fillId="0" borderId="0" xfId="0" applyAlignment="1">
      <alignment vertical="top"/>
    </xf>
    <xf numFmtId="164" fontId="4" fillId="0" borderId="5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44" fontId="4" fillId="3" borderId="10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0" borderId="0" xfId="1" applyFont="1"/>
    <xf numFmtId="166" fontId="10" fillId="0" borderId="0" xfId="0" applyNumberFormat="1" applyFont="1" applyAlignment="1">
      <alignment horizontal="left" vertical="top" wrapText="1"/>
    </xf>
    <xf numFmtId="0" fontId="11" fillId="0" borderId="0" xfId="0" applyFont="1"/>
    <xf numFmtId="166" fontId="11" fillId="0" borderId="0" xfId="0" applyNumberFormat="1" applyFont="1" applyAlignment="1">
      <alignment horizontal="left" vertical="top" wrapText="1"/>
    </xf>
    <xf numFmtId="0" fontId="11" fillId="17" borderId="10" xfId="0" applyFont="1" applyFill="1" applyBorder="1"/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6" fontId="14" fillId="0" borderId="0" xfId="0" applyNumberFormat="1" applyFont="1" applyAlignment="1">
      <alignment horizontal="left" vertical="top" wrapText="1"/>
    </xf>
    <xf numFmtId="166" fontId="10" fillId="18" borderId="10" xfId="0" applyNumberFormat="1" applyFont="1" applyFill="1" applyBorder="1" applyAlignment="1">
      <alignment horizontal="left" vertical="top" wrapText="1"/>
    </xf>
    <xf numFmtId="168" fontId="15" fillId="0" borderId="0" xfId="0" applyNumberFormat="1" applyFont="1" applyAlignment="1">
      <alignment horizontal="right" vertical="top" wrapText="1"/>
    </xf>
    <xf numFmtId="166" fontId="11" fillId="0" borderId="0" xfId="0" applyNumberFormat="1" applyFont="1" applyAlignment="1">
      <alignment horizontal="center" vertical="top" wrapText="1"/>
    </xf>
    <xf numFmtId="168" fontId="15" fillId="17" borderId="10" xfId="0" applyNumberFormat="1" applyFont="1" applyFill="1" applyBorder="1" applyAlignment="1">
      <alignment horizontal="right" vertical="top" wrapText="1"/>
    </xf>
    <xf numFmtId="168" fontId="10" fillId="0" borderId="0" xfId="0" applyNumberFormat="1" applyFont="1" applyAlignment="1">
      <alignment horizontal="right" vertical="top" wrapText="1"/>
    </xf>
    <xf numFmtId="168" fontId="10" fillId="17" borderId="10" xfId="0" applyNumberFormat="1" applyFont="1" applyFill="1" applyBorder="1" applyAlignment="1">
      <alignment horizontal="right" vertical="top" wrapText="1"/>
    </xf>
    <xf numFmtId="0" fontId="14" fillId="7" borderId="10" xfId="0" applyFont="1" applyFill="1" applyBorder="1" applyAlignment="1">
      <alignment vertical="top" wrapText="1"/>
    </xf>
    <xf numFmtId="166" fontId="16" fillId="16" borderId="10" xfId="0" applyNumberFormat="1" applyFont="1" applyFill="1" applyBorder="1" applyAlignment="1">
      <alignment horizontal="center" vertical="center" wrapText="1"/>
    </xf>
    <xf numFmtId="168" fontId="17" fillId="19" borderId="10" xfId="0" applyNumberFormat="1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wrapText="1"/>
    </xf>
    <xf numFmtId="166" fontId="19" fillId="0" borderId="0" xfId="0" applyNumberFormat="1" applyFont="1" applyAlignment="1">
      <alignment horizontal="center" vertical="top" wrapText="1"/>
    </xf>
    <xf numFmtId="166" fontId="20" fillId="0" borderId="0" xfId="0" applyNumberFormat="1" applyFont="1" applyAlignment="1">
      <alignment horizontal="center" vertical="top" wrapText="1"/>
    </xf>
    <xf numFmtId="166" fontId="20" fillId="0" borderId="0" xfId="0" applyNumberFormat="1" applyFont="1" applyAlignment="1">
      <alignment horizontal="left" vertical="top" wrapText="1"/>
    </xf>
    <xf numFmtId="166" fontId="10" fillId="9" borderId="10" xfId="0" applyNumberFormat="1" applyFont="1" applyFill="1" applyBorder="1" applyAlignment="1">
      <alignment horizontal="left" vertical="top" wrapText="1"/>
    </xf>
    <xf numFmtId="168" fontId="17" fillId="19" borderId="19" xfId="0" applyNumberFormat="1" applyFont="1" applyFill="1" applyBorder="1" applyAlignment="1">
      <alignment horizontal="center" vertical="center" wrapText="1"/>
    </xf>
    <xf numFmtId="166" fontId="11" fillId="0" borderId="19" xfId="0" applyNumberFormat="1" applyFont="1" applyBorder="1" applyAlignment="1">
      <alignment horizontal="left" vertical="top" wrapText="1"/>
    </xf>
    <xf numFmtId="166" fontId="21" fillId="0" borderId="0" xfId="0" applyNumberFormat="1" applyFont="1" applyAlignment="1">
      <alignment horizontal="left" vertical="top" wrapText="1"/>
    </xf>
    <xf numFmtId="168" fontId="11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/>
    </xf>
    <xf numFmtId="3" fontId="13" fillId="0" borderId="19" xfId="0" applyNumberFormat="1" applyFont="1" applyBorder="1" applyAlignment="1">
      <alignment vertical="center"/>
    </xf>
    <xf numFmtId="166" fontId="12" fillId="0" borderId="0" xfId="0" applyNumberFormat="1" applyFont="1" applyAlignment="1">
      <alignment horizontal="left" vertical="top" wrapText="1"/>
    </xf>
    <xf numFmtId="166" fontId="12" fillId="0" borderId="0" xfId="0" applyNumberFormat="1" applyFont="1" applyAlignment="1">
      <alignment horizontal="center" vertical="top" wrapText="1"/>
    </xf>
    <xf numFmtId="166" fontId="14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horizontal="left" vertical="top" wrapText="1"/>
    </xf>
    <xf numFmtId="168" fontId="24" fillId="0" borderId="0" xfId="0" applyNumberFormat="1" applyFont="1" applyAlignment="1">
      <alignment horizontal="right" vertical="top" wrapText="1"/>
    </xf>
    <xf numFmtId="168" fontId="11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wrapText="1"/>
    </xf>
    <xf numFmtId="0" fontId="13" fillId="0" borderId="19" xfId="0" applyFont="1" applyBorder="1"/>
    <xf numFmtId="0" fontId="12" fillId="0" borderId="0" xfId="0" applyFont="1" applyAlignment="1">
      <alignment horizontal="center" vertical="top" wrapText="1"/>
    </xf>
    <xf numFmtId="166" fontId="26" fillId="6" borderId="10" xfId="0" applyNumberFormat="1" applyFont="1" applyFill="1" applyBorder="1" applyAlignment="1">
      <alignment horizontal="right" vertical="top" wrapText="1"/>
    </xf>
    <xf numFmtId="168" fontId="27" fillId="6" borderId="10" xfId="0" applyNumberFormat="1" applyFont="1" applyFill="1" applyBorder="1" applyAlignment="1">
      <alignment horizontal="right" vertical="top" wrapText="1"/>
    </xf>
    <xf numFmtId="3" fontId="28" fillId="6" borderId="0" xfId="0" applyNumberFormat="1" applyFont="1" applyFill="1" applyAlignment="1">
      <alignment horizontal="right"/>
    </xf>
    <xf numFmtId="168" fontId="27" fillId="6" borderId="19" xfId="0" applyNumberFormat="1" applyFont="1" applyFill="1" applyBorder="1" applyAlignment="1">
      <alignment horizontal="right" vertical="top" wrapText="1"/>
    </xf>
    <xf numFmtId="168" fontId="11" fillId="0" borderId="19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6" fontId="29" fillId="0" borderId="0" xfId="0" applyNumberFormat="1" applyFont="1" applyAlignment="1">
      <alignment horizontal="left" vertical="top" wrapText="1"/>
    </xf>
    <xf numFmtId="168" fontId="11" fillId="0" borderId="20" xfId="0" applyNumberFormat="1" applyFont="1" applyBorder="1" applyAlignment="1">
      <alignment horizontal="right" vertical="top" wrapText="1"/>
    </xf>
    <xf numFmtId="168" fontId="11" fillId="0" borderId="21" xfId="0" applyNumberFormat="1" applyFont="1" applyBorder="1" applyAlignment="1">
      <alignment horizontal="right" vertical="top" wrapText="1"/>
    </xf>
    <xf numFmtId="168" fontId="30" fillId="18" borderId="20" xfId="0" applyNumberFormat="1" applyFont="1" applyFill="1" applyBorder="1" applyAlignment="1">
      <alignment horizontal="right"/>
    </xf>
    <xf numFmtId="168" fontId="11" fillId="17" borderId="21" xfId="0" applyNumberFormat="1" applyFont="1" applyFill="1" applyBorder="1" applyAlignment="1">
      <alignment horizontal="right" vertical="top" wrapText="1"/>
    </xf>
    <xf numFmtId="0" fontId="14" fillId="0" borderId="0" xfId="0" applyFont="1"/>
    <xf numFmtId="168" fontId="11" fillId="18" borderId="20" xfId="0" applyNumberFormat="1" applyFont="1" applyFill="1" applyBorder="1" applyAlignment="1">
      <alignment horizontal="right" vertical="top" wrapText="1"/>
    </xf>
    <xf numFmtId="168" fontId="10" fillId="0" borderId="19" xfId="0" applyNumberFormat="1" applyFont="1" applyBorder="1" applyAlignment="1">
      <alignment horizontal="right" vertical="top" wrapText="1"/>
    </xf>
    <xf numFmtId="168" fontId="21" fillId="0" borderId="0" xfId="0" applyNumberFormat="1" applyFont="1" applyAlignment="1">
      <alignment horizontal="right" vertical="top" wrapText="1"/>
    </xf>
    <xf numFmtId="168" fontId="21" fillId="0" borderId="19" xfId="0" applyNumberFormat="1" applyFont="1" applyBorder="1" applyAlignment="1">
      <alignment horizontal="right" vertical="top" wrapText="1"/>
    </xf>
    <xf numFmtId="166" fontId="12" fillId="7" borderId="10" xfId="0" applyNumberFormat="1" applyFont="1" applyFill="1" applyBorder="1" applyAlignment="1">
      <alignment horizontal="left" vertical="top" wrapText="1"/>
    </xf>
    <xf numFmtId="166" fontId="14" fillId="7" borderId="10" xfId="0" applyNumberFormat="1" applyFont="1" applyFill="1" applyBorder="1" applyAlignment="1">
      <alignment horizontal="left" vertical="top" wrapText="1"/>
    </xf>
    <xf numFmtId="167" fontId="31" fillId="6" borderId="10" xfId="0" applyNumberFormat="1" applyFont="1" applyFill="1" applyBorder="1" applyAlignment="1">
      <alignment horizontal="right" wrapText="1"/>
    </xf>
    <xf numFmtId="166" fontId="24" fillId="0" borderId="0" xfId="0" applyNumberFormat="1" applyFont="1" applyAlignment="1">
      <alignment vertical="top" wrapText="1"/>
    </xf>
    <xf numFmtId="166" fontId="24" fillId="0" borderId="0" xfId="0" applyNumberFormat="1" applyFont="1"/>
    <xf numFmtId="166" fontId="24" fillId="0" borderId="19" xfId="0" applyNumberFormat="1" applyFont="1" applyBorder="1" applyAlignment="1">
      <alignment vertical="top" wrapText="1"/>
    </xf>
    <xf numFmtId="166" fontId="32" fillId="10" borderId="10" xfId="0" applyNumberFormat="1" applyFont="1" applyFill="1" applyBorder="1" applyAlignment="1">
      <alignment horizontal="right" vertical="top" wrapText="1"/>
    </xf>
    <xf numFmtId="166" fontId="24" fillId="10" borderId="10" xfId="0" applyNumberFormat="1" applyFont="1" applyFill="1" applyBorder="1" applyAlignment="1">
      <alignment vertical="top" wrapText="1"/>
    </xf>
    <xf numFmtId="166" fontId="24" fillId="20" borderId="19" xfId="0" applyNumberFormat="1" applyFont="1" applyFill="1" applyBorder="1" applyAlignment="1">
      <alignment vertical="top" wrapText="1"/>
    </xf>
    <xf numFmtId="168" fontId="14" fillId="0" borderId="0" xfId="0" applyNumberFormat="1" applyFont="1" applyAlignment="1">
      <alignment vertical="top" wrapText="1"/>
    </xf>
    <xf numFmtId="166" fontId="10" fillId="0" borderId="22" xfId="0" applyNumberFormat="1" applyFont="1" applyBorder="1" applyAlignment="1">
      <alignment horizontal="left" vertical="top" wrapText="1"/>
    </xf>
    <xf numFmtId="168" fontId="10" fillId="0" borderId="22" xfId="0" applyNumberFormat="1" applyFont="1" applyBorder="1" applyAlignment="1">
      <alignment horizontal="right" vertical="top" wrapText="1"/>
    </xf>
    <xf numFmtId="168" fontId="10" fillId="0" borderId="23" xfId="0" applyNumberFormat="1" applyFont="1" applyBorder="1" applyAlignment="1">
      <alignment horizontal="right" vertical="top" wrapText="1"/>
    </xf>
    <xf numFmtId="166" fontId="10" fillId="11" borderId="10" xfId="0" applyNumberFormat="1" applyFont="1" applyFill="1" applyBorder="1" applyAlignment="1">
      <alignment horizontal="left" vertical="top" wrapText="1"/>
    </xf>
    <xf numFmtId="168" fontId="10" fillId="11" borderId="10" xfId="0" applyNumberFormat="1" applyFont="1" applyFill="1" applyBorder="1" applyAlignment="1">
      <alignment horizontal="right" vertical="top" wrapText="1"/>
    </xf>
    <xf numFmtId="168" fontId="10" fillId="11" borderId="19" xfId="0" applyNumberFormat="1" applyFont="1" applyFill="1" applyBorder="1" applyAlignment="1">
      <alignment horizontal="right" vertical="top" wrapText="1"/>
    </xf>
    <xf numFmtId="166" fontId="10" fillId="12" borderId="10" xfId="0" applyNumberFormat="1" applyFont="1" applyFill="1" applyBorder="1" applyAlignment="1">
      <alignment horizontal="left" vertical="top" wrapText="1"/>
    </xf>
    <xf numFmtId="168" fontId="10" fillId="12" borderId="10" xfId="0" applyNumberFormat="1" applyFont="1" applyFill="1" applyBorder="1" applyAlignment="1">
      <alignment horizontal="right" vertical="top" wrapText="1"/>
    </xf>
    <xf numFmtId="168" fontId="10" fillId="12" borderId="19" xfId="0" applyNumberFormat="1" applyFont="1" applyFill="1" applyBorder="1" applyAlignment="1">
      <alignment horizontal="right" vertical="top" wrapText="1"/>
    </xf>
    <xf numFmtId="166" fontId="24" fillId="0" borderId="0" xfId="0" applyNumberFormat="1" applyFont="1" applyAlignment="1">
      <alignment horizontal="left" vertical="top" wrapText="1"/>
    </xf>
    <xf numFmtId="166" fontId="24" fillId="0" borderId="19" xfId="0" applyNumberFormat="1" applyFont="1" applyBorder="1" applyAlignment="1">
      <alignment horizontal="left" vertical="top" wrapText="1"/>
    </xf>
    <xf numFmtId="0" fontId="13" fillId="0" borderId="0" xfId="0" applyFont="1"/>
    <xf numFmtId="0" fontId="12" fillId="7" borderId="10" xfId="0" applyFont="1" applyFill="1" applyBorder="1" applyAlignment="1">
      <alignment vertical="top" wrapText="1"/>
    </xf>
    <xf numFmtId="166" fontId="26" fillId="8" borderId="10" xfId="0" applyNumberFormat="1" applyFont="1" applyFill="1" applyBorder="1" applyAlignment="1">
      <alignment horizontal="right" vertical="top" wrapText="1"/>
    </xf>
    <xf numFmtId="168" fontId="27" fillId="8" borderId="10" xfId="0" applyNumberFormat="1" applyFont="1" applyFill="1" applyBorder="1" applyAlignment="1">
      <alignment horizontal="right" vertical="top" wrapText="1"/>
    </xf>
    <xf numFmtId="168" fontId="27" fillId="8" borderId="19" xfId="0" applyNumberFormat="1" applyFont="1" applyFill="1" applyBorder="1" applyAlignment="1">
      <alignment horizontal="right" vertical="top" wrapText="1"/>
    </xf>
    <xf numFmtId="0" fontId="14" fillId="0" borderId="19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165" fontId="33" fillId="0" borderId="0" xfId="0" applyNumberFormat="1" applyFont="1" applyAlignment="1">
      <alignment horizontal="right" vertical="top" wrapText="1"/>
    </xf>
    <xf numFmtId="168" fontId="21" fillId="21" borderId="10" xfId="0" applyNumberFormat="1" applyFont="1" applyFill="1" applyBorder="1" applyAlignment="1">
      <alignment horizontal="right" vertical="top" wrapText="1"/>
    </xf>
    <xf numFmtId="168" fontId="11" fillId="21" borderId="10" xfId="0" applyNumberFormat="1" applyFont="1" applyFill="1" applyBorder="1" applyAlignment="1">
      <alignment horizontal="right" vertical="top" wrapText="1"/>
    </xf>
    <xf numFmtId="168" fontId="24" fillId="22" borderId="10" xfId="0" applyNumberFormat="1" applyFont="1" applyFill="1" applyBorder="1" applyAlignment="1">
      <alignment horizontal="right" vertical="top" wrapText="1"/>
    </xf>
    <xf numFmtId="166" fontId="32" fillId="12" borderId="10" xfId="0" applyNumberFormat="1" applyFont="1" applyFill="1" applyBorder="1" applyAlignment="1">
      <alignment horizontal="right" vertical="top" wrapText="1"/>
    </xf>
    <xf numFmtId="168" fontId="24" fillId="12" borderId="10" xfId="0" applyNumberFormat="1" applyFont="1" applyFill="1" applyBorder="1" applyAlignment="1">
      <alignment horizontal="right" vertical="top" wrapText="1"/>
    </xf>
    <xf numFmtId="168" fontId="24" fillId="12" borderId="19" xfId="0" applyNumberFormat="1" applyFont="1" applyFill="1" applyBorder="1" applyAlignment="1">
      <alignment horizontal="right" vertical="top" wrapText="1"/>
    </xf>
    <xf numFmtId="166" fontId="10" fillId="13" borderId="10" xfId="0" applyNumberFormat="1" applyFont="1" applyFill="1" applyBorder="1" applyAlignment="1">
      <alignment horizontal="left" vertical="top" wrapText="1"/>
    </xf>
    <xf numFmtId="168" fontId="24" fillId="13" borderId="10" xfId="0" applyNumberFormat="1" applyFont="1" applyFill="1" applyBorder="1" applyAlignment="1">
      <alignment horizontal="right" vertical="top" wrapText="1"/>
    </xf>
    <xf numFmtId="168" fontId="24" fillId="13" borderId="19" xfId="0" applyNumberFormat="1" applyFont="1" applyFill="1" applyBorder="1" applyAlignment="1">
      <alignment horizontal="right" vertical="top" wrapText="1"/>
    </xf>
    <xf numFmtId="168" fontId="24" fillId="0" borderId="19" xfId="0" applyNumberFormat="1" applyFont="1" applyBorder="1" applyAlignment="1">
      <alignment horizontal="right" vertical="top" wrapText="1"/>
    </xf>
    <xf numFmtId="166" fontId="26" fillId="14" borderId="10" xfId="0" applyNumberFormat="1" applyFont="1" applyFill="1" applyBorder="1" applyAlignment="1">
      <alignment horizontal="right" vertical="top" wrapText="1"/>
    </xf>
    <xf numFmtId="168" fontId="27" fillId="14" borderId="10" xfId="0" applyNumberFormat="1" applyFont="1" applyFill="1" applyBorder="1" applyAlignment="1">
      <alignment horizontal="right" vertical="top" wrapText="1"/>
    </xf>
    <xf numFmtId="168" fontId="27" fillId="14" borderId="19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Alignment="1">
      <alignment vertical="top" wrapText="1"/>
    </xf>
    <xf numFmtId="166" fontId="21" fillId="0" borderId="0" xfId="0" applyNumberFormat="1" applyFont="1" applyAlignment="1">
      <alignment vertical="top" wrapText="1"/>
    </xf>
    <xf numFmtId="166" fontId="29" fillId="0" borderId="0" xfId="0" applyNumberFormat="1" applyFont="1" applyAlignment="1">
      <alignment vertical="top" wrapText="1"/>
    </xf>
    <xf numFmtId="166" fontId="34" fillId="18" borderId="10" xfId="0" applyNumberFormat="1" applyFont="1" applyFill="1" applyBorder="1" applyAlignment="1">
      <alignment horizontal="left"/>
    </xf>
    <xf numFmtId="166" fontId="19" fillId="0" borderId="0" xfId="0" applyNumberFormat="1" applyFont="1" applyAlignment="1">
      <alignment horizontal="left" vertical="top" wrapText="1"/>
    </xf>
    <xf numFmtId="0" fontId="11" fillId="21" borderId="10" xfId="0" applyFont="1" applyFill="1" applyBorder="1"/>
    <xf numFmtId="166" fontId="10" fillId="0" borderId="19" xfId="0" applyNumberFormat="1" applyFont="1" applyBorder="1" applyAlignment="1">
      <alignment horizontal="left" vertical="top" wrapText="1"/>
    </xf>
    <xf numFmtId="166" fontId="10" fillId="14" borderId="10" xfId="0" applyNumberFormat="1" applyFont="1" applyFill="1" applyBorder="1" applyAlignment="1">
      <alignment horizontal="left" vertical="top" wrapText="1"/>
    </xf>
    <xf numFmtId="166" fontId="10" fillId="14" borderId="19" xfId="0" applyNumberFormat="1" applyFont="1" applyFill="1" applyBorder="1" applyAlignment="1">
      <alignment horizontal="left" vertical="top" wrapText="1"/>
    </xf>
    <xf numFmtId="166" fontId="35" fillId="23" borderId="10" xfId="0" applyNumberFormat="1" applyFont="1" applyFill="1" applyBorder="1" applyAlignment="1">
      <alignment horizontal="left" vertical="center" wrapText="1"/>
    </xf>
    <xf numFmtId="168" fontId="27" fillId="23" borderId="10" xfId="0" applyNumberFormat="1" applyFont="1" applyFill="1" applyBorder="1" applyAlignment="1">
      <alignment horizontal="right" vertical="top" wrapText="1"/>
    </xf>
    <xf numFmtId="168" fontId="36" fillId="23" borderId="10" xfId="0" applyNumberFormat="1" applyFont="1" applyFill="1" applyBorder="1" applyAlignment="1">
      <alignment horizontal="right" vertical="top" wrapText="1"/>
    </xf>
    <xf numFmtId="168" fontId="36" fillId="23" borderId="19" xfId="0" applyNumberFormat="1" applyFont="1" applyFill="1" applyBorder="1" applyAlignment="1">
      <alignment horizontal="right" vertical="top" wrapText="1"/>
    </xf>
    <xf numFmtId="166" fontId="35" fillId="23" borderId="10" xfId="0" applyNumberFormat="1" applyFont="1" applyFill="1" applyBorder="1" applyAlignment="1">
      <alignment horizontal="right" vertical="top" wrapText="1"/>
    </xf>
    <xf numFmtId="169" fontId="27" fillId="23" borderId="10" xfId="0" applyNumberFormat="1" applyFont="1" applyFill="1" applyBorder="1" applyAlignment="1">
      <alignment horizontal="right" vertical="top" wrapText="1"/>
    </xf>
    <xf numFmtId="168" fontId="11" fillId="0" borderId="24" xfId="0" applyNumberFormat="1" applyFont="1" applyBorder="1" applyAlignment="1">
      <alignment horizontal="right" vertical="top" wrapText="1"/>
    </xf>
    <xf numFmtId="166" fontId="26" fillId="0" borderId="0" xfId="0" applyNumberFormat="1" applyFont="1" applyAlignment="1">
      <alignment horizontal="right" vertical="top" wrapText="1"/>
    </xf>
    <xf numFmtId="168" fontId="27" fillId="0" borderId="0" xfId="0" applyNumberFormat="1" applyFont="1" applyAlignment="1">
      <alignment horizontal="right" vertical="top" wrapText="1"/>
    </xf>
    <xf numFmtId="168" fontId="27" fillId="0" borderId="19" xfId="0" applyNumberFormat="1" applyFont="1" applyBorder="1" applyAlignment="1">
      <alignment horizontal="right" vertical="top" wrapText="1"/>
    </xf>
    <xf numFmtId="9" fontId="20" fillId="0" borderId="0" xfId="0" applyNumberFormat="1" applyFont="1" applyAlignment="1">
      <alignment horizontal="left" vertical="top" wrapText="1"/>
    </xf>
    <xf numFmtId="166" fontId="10" fillId="24" borderId="10" xfId="0" applyNumberFormat="1" applyFont="1" applyFill="1" applyBorder="1" applyAlignment="1">
      <alignment horizontal="left" vertical="top" wrapText="1"/>
    </xf>
    <xf numFmtId="168" fontId="24" fillId="24" borderId="10" xfId="0" applyNumberFormat="1" applyFont="1" applyFill="1" applyBorder="1" applyAlignment="1">
      <alignment horizontal="right" vertical="top" wrapText="1"/>
    </xf>
    <xf numFmtId="168" fontId="11" fillId="24" borderId="10" xfId="0" applyNumberFormat="1" applyFont="1" applyFill="1" applyBorder="1" applyAlignment="1">
      <alignment horizontal="right" vertical="top" wrapText="1"/>
    </xf>
    <xf numFmtId="168" fontId="11" fillId="24" borderId="19" xfId="0" applyNumberFormat="1" applyFont="1" applyFill="1" applyBorder="1" applyAlignment="1">
      <alignment horizontal="right" vertical="top" wrapText="1"/>
    </xf>
    <xf numFmtId="170" fontId="20" fillId="0" borderId="0" xfId="0" applyNumberFormat="1" applyFont="1" applyAlignment="1">
      <alignment horizontal="left" vertical="top" wrapText="1"/>
    </xf>
    <xf numFmtId="166" fontId="21" fillId="24" borderId="10" xfId="0" applyNumberFormat="1" applyFont="1" applyFill="1" applyBorder="1" applyAlignment="1">
      <alignment horizontal="left" vertical="top" wrapText="1"/>
    </xf>
    <xf numFmtId="168" fontId="11" fillId="24" borderId="24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horizontal="right" vertical="top" wrapText="1"/>
    </xf>
    <xf numFmtId="168" fontId="27" fillId="24" borderId="10" xfId="0" applyNumberFormat="1" applyFont="1" applyFill="1" applyBorder="1" applyAlignment="1">
      <alignment horizontal="right" vertical="top" wrapText="1"/>
    </xf>
    <xf numFmtId="168" fontId="27" fillId="24" borderId="19" xfId="0" applyNumberFormat="1" applyFont="1" applyFill="1" applyBorder="1" applyAlignment="1">
      <alignment horizontal="right" vertical="top" wrapText="1"/>
    </xf>
    <xf numFmtId="166" fontId="26" fillId="23" borderId="10" xfId="0" applyNumberFormat="1" applyFont="1" applyFill="1" applyBorder="1" applyAlignment="1">
      <alignment horizontal="right" vertical="top" wrapText="1"/>
    </xf>
    <xf numFmtId="168" fontId="24" fillId="23" borderId="10" xfId="0" applyNumberFormat="1" applyFont="1" applyFill="1" applyBorder="1" applyAlignment="1">
      <alignment horizontal="right" vertical="top" wrapText="1"/>
    </xf>
    <xf numFmtId="168" fontId="24" fillId="23" borderId="19" xfId="0" applyNumberFormat="1" applyFont="1" applyFill="1" applyBorder="1" applyAlignment="1">
      <alignment horizontal="right" vertical="top" wrapText="1"/>
    </xf>
    <xf numFmtId="168" fontId="21" fillId="0" borderId="24" xfId="0" applyNumberFormat="1" applyFont="1" applyBorder="1" applyAlignment="1">
      <alignment horizontal="right" vertical="top" wrapText="1"/>
    </xf>
    <xf numFmtId="0" fontId="26" fillId="23" borderId="10" xfId="0" applyFont="1" applyFill="1" applyBorder="1" applyAlignment="1">
      <alignment horizontal="right" vertical="top" wrapText="1"/>
    </xf>
    <xf numFmtId="168" fontId="27" fillId="23" borderId="19" xfId="0" applyNumberFormat="1" applyFont="1" applyFill="1" applyBorder="1" applyAlignment="1">
      <alignment horizontal="right" vertical="top" wrapText="1"/>
    </xf>
    <xf numFmtId="166" fontId="32" fillId="14" borderId="10" xfId="0" applyNumberFormat="1" applyFont="1" applyFill="1" applyBorder="1" applyAlignment="1">
      <alignment horizontal="right" vertical="top" wrapText="1"/>
    </xf>
    <xf numFmtId="168" fontId="24" fillId="14" borderId="10" xfId="0" applyNumberFormat="1" applyFont="1" applyFill="1" applyBorder="1" applyAlignment="1">
      <alignment horizontal="right" vertical="top" wrapText="1"/>
    </xf>
    <xf numFmtId="168" fontId="24" fillId="14" borderId="19" xfId="0" applyNumberFormat="1" applyFont="1" applyFill="1" applyBorder="1" applyAlignment="1">
      <alignment horizontal="right" vertical="top" wrapText="1"/>
    </xf>
    <xf numFmtId="166" fontId="37" fillId="0" borderId="0" xfId="0" applyNumberFormat="1" applyFont="1" applyAlignment="1">
      <alignment horizontal="left" vertical="top" wrapText="1"/>
    </xf>
    <xf numFmtId="166" fontId="37" fillId="0" borderId="0" xfId="0" applyNumberFormat="1" applyFont="1" applyAlignment="1">
      <alignment horizontal="center" vertical="top" wrapText="1"/>
    </xf>
    <xf numFmtId="166" fontId="34" fillId="0" borderId="0" xfId="0" applyNumberFormat="1" applyFont="1" applyAlignment="1">
      <alignment horizontal="left" vertical="top" wrapText="1"/>
    </xf>
    <xf numFmtId="166" fontId="27" fillId="14" borderId="10" xfId="0" applyNumberFormat="1" applyFont="1" applyFill="1" applyBorder="1" applyAlignment="1">
      <alignment horizontal="right" vertical="top" wrapText="1"/>
    </xf>
    <xf numFmtId="166" fontId="27" fillId="14" borderId="19" xfId="0" applyNumberFormat="1" applyFont="1" applyFill="1" applyBorder="1" applyAlignment="1">
      <alignment horizontal="right" vertical="top" wrapText="1"/>
    </xf>
    <xf numFmtId="166" fontId="26" fillId="15" borderId="10" xfId="0" applyNumberFormat="1" applyFont="1" applyFill="1" applyBorder="1" applyAlignment="1">
      <alignment horizontal="right" vertical="top" wrapText="1"/>
    </xf>
    <xf numFmtId="168" fontId="27" fillId="15" borderId="10" xfId="0" applyNumberFormat="1" applyFont="1" applyFill="1" applyBorder="1" applyAlignment="1">
      <alignment horizontal="right" vertical="top" wrapText="1"/>
    </xf>
    <xf numFmtId="168" fontId="27" fillId="15" borderId="19" xfId="0" applyNumberFormat="1" applyFont="1" applyFill="1" applyBorder="1" applyAlignment="1">
      <alignment horizontal="right" vertical="top" wrapText="1"/>
    </xf>
    <xf numFmtId="166" fontId="14" fillId="0" borderId="0" xfId="0" applyNumberFormat="1" applyFont="1" applyAlignment="1">
      <alignment vertical="top" wrapText="1"/>
    </xf>
    <xf numFmtId="166" fontId="32" fillId="0" borderId="0" xfId="0" applyNumberFormat="1" applyFont="1" applyAlignment="1">
      <alignment horizontal="right" vertical="top" wrapText="1"/>
    </xf>
    <xf numFmtId="168" fontId="32" fillId="11" borderId="10" xfId="0" applyNumberFormat="1" applyFont="1" applyFill="1" applyBorder="1" applyAlignment="1">
      <alignment horizontal="right" vertical="top" wrapText="1"/>
    </xf>
    <xf numFmtId="168" fontId="24" fillId="11" borderId="10" xfId="0" applyNumberFormat="1" applyFont="1" applyFill="1" applyBorder="1" applyAlignment="1">
      <alignment horizontal="right" vertical="top" wrapText="1"/>
    </xf>
    <xf numFmtId="168" fontId="24" fillId="11" borderId="19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Alignment="1">
      <alignment horizontal="center" vertical="center" wrapText="1"/>
    </xf>
    <xf numFmtId="168" fontId="38" fillId="0" borderId="0" xfId="0" applyNumberFormat="1" applyFont="1" applyAlignment="1">
      <alignment horizontal="center" vertical="center" wrapText="1"/>
    </xf>
    <xf numFmtId="168" fontId="38" fillId="0" borderId="19" xfId="0" applyNumberFormat="1" applyFont="1" applyBorder="1" applyAlignment="1">
      <alignment horizontal="center" vertical="center" wrapText="1"/>
    </xf>
    <xf numFmtId="166" fontId="10" fillId="10" borderId="10" xfId="0" applyNumberFormat="1" applyFont="1" applyFill="1" applyBorder="1" applyAlignment="1">
      <alignment horizontal="center" vertical="center" wrapText="1"/>
    </xf>
    <xf numFmtId="168" fontId="38" fillId="10" borderId="10" xfId="0" applyNumberFormat="1" applyFont="1" applyFill="1" applyBorder="1" applyAlignment="1">
      <alignment horizontal="center" vertical="center" wrapText="1"/>
    </xf>
    <xf numFmtId="168" fontId="38" fillId="10" borderId="19" xfId="0" applyNumberFormat="1" applyFont="1" applyFill="1" applyBorder="1" applyAlignment="1">
      <alignment horizontal="center" vertical="center" wrapText="1"/>
    </xf>
    <xf numFmtId="166" fontId="24" fillId="10" borderId="19" xfId="0" applyNumberFormat="1" applyFont="1" applyFill="1" applyBorder="1" applyAlignment="1">
      <alignment vertical="top" wrapText="1"/>
    </xf>
    <xf numFmtId="166" fontId="32" fillId="16" borderId="10" xfId="0" applyNumberFormat="1" applyFont="1" applyFill="1" applyBorder="1" applyAlignment="1">
      <alignment horizontal="right" vertical="top" wrapText="1"/>
    </xf>
    <xf numFmtId="166" fontId="24" fillId="16" borderId="10" xfId="0" applyNumberFormat="1" applyFont="1" applyFill="1" applyBorder="1" applyAlignment="1">
      <alignment vertical="top" wrapText="1"/>
    </xf>
    <xf numFmtId="166" fontId="24" fillId="16" borderId="19" xfId="0" applyNumberFormat="1" applyFont="1" applyFill="1" applyBorder="1" applyAlignment="1">
      <alignment vertical="top" wrapText="1"/>
    </xf>
    <xf numFmtId="166" fontId="39" fillId="0" borderId="0" xfId="0" applyNumberFormat="1" applyFont="1" applyAlignment="1">
      <alignment horizontal="right" vertical="top" wrapText="1"/>
    </xf>
    <xf numFmtId="168" fontId="39" fillId="0" borderId="0" xfId="0" applyNumberFormat="1" applyFont="1" applyAlignment="1">
      <alignment horizontal="right" vertical="top" wrapText="1"/>
    </xf>
    <xf numFmtId="168" fontId="39" fillId="0" borderId="19" xfId="0" applyNumberFormat="1" applyFont="1" applyBorder="1" applyAlignment="1">
      <alignment horizontal="right" vertical="top" wrapText="1"/>
    </xf>
    <xf numFmtId="166" fontId="39" fillId="10" borderId="10" xfId="0" applyNumberFormat="1" applyFont="1" applyFill="1" applyBorder="1" applyAlignment="1">
      <alignment horizontal="right" vertical="top" wrapText="1"/>
    </xf>
    <xf numFmtId="0" fontId="40" fillId="10" borderId="10" xfId="0" applyFont="1" applyFill="1" applyBorder="1"/>
    <xf numFmtId="166" fontId="39" fillId="10" borderId="19" xfId="0" applyNumberFormat="1" applyFont="1" applyFill="1" applyBorder="1" applyAlignment="1">
      <alignment horizontal="right" vertical="top" wrapText="1"/>
    </xf>
    <xf numFmtId="166" fontId="41" fillId="0" borderId="0" xfId="0" applyNumberFormat="1" applyFont="1" applyAlignment="1">
      <alignment horizontal="right" vertical="top" wrapText="1"/>
    </xf>
    <xf numFmtId="168" fontId="24" fillId="16" borderId="10" xfId="0" applyNumberFormat="1" applyFont="1" applyFill="1" applyBorder="1" applyAlignment="1">
      <alignment horizontal="right" vertical="top" wrapText="1"/>
    </xf>
    <xf numFmtId="168" fontId="24" fillId="16" borderId="19" xfId="0" applyNumberFormat="1" applyFont="1" applyFill="1" applyBorder="1" applyAlignment="1">
      <alignment horizontal="right" vertical="top" wrapText="1"/>
    </xf>
    <xf numFmtId="168" fontId="24" fillId="16" borderId="23" xfId="0" applyNumberFormat="1" applyFont="1" applyFill="1" applyBorder="1" applyAlignment="1">
      <alignment horizontal="right" vertical="top" wrapText="1"/>
    </xf>
    <xf numFmtId="166" fontId="42" fillId="0" borderId="0" xfId="0" applyNumberFormat="1" applyFont="1" applyAlignment="1">
      <alignment horizontal="left" vertical="top"/>
    </xf>
    <xf numFmtId="168" fontId="11" fillId="17" borderId="10" xfId="0" applyNumberFormat="1" applyFont="1" applyFill="1" applyBorder="1" applyAlignment="1">
      <alignment horizontal="right" vertical="top" wrapText="1"/>
    </xf>
    <xf numFmtId="166" fontId="42" fillId="0" borderId="0" xfId="0" applyNumberFormat="1" applyFont="1" applyAlignment="1">
      <alignment horizontal="left" vertical="top" wrapText="1"/>
    </xf>
    <xf numFmtId="166" fontId="43" fillId="18" borderId="10" xfId="0" applyNumberFormat="1" applyFont="1" applyFill="1" applyBorder="1" applyAlignment="1">
      <alignment horizontal="left" vertical="top" wrapText="1"/>
    </xf>
    <xf numFmtId="168" fontId="21" fillId="17" borderId="10" xfId="0" applyNumberFormat="1" applyFont="1" applyFill="1" applyBorder="1" applyAlignment="1">
      <alignment horizontal="right" vertical="top" wrapText="1"/>
    </xf>
    <xf numFmtId="166" fontId="22" fillId="0" borderId="0" xfId="0" applyNumberFormat="1" applyFont="1" applyAlignment="1">
      <alignment horizontal="left" vertical="top" wrapText="1"/>
    </xf>
    <xf numFmtId="164" fontId="0" fillId="0" borderId="0" xfId="1" applyNumberFormat="1" applyFont="1"/>
    <xf numFmtId="168" fontId="1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4" fontId="0" fillId="0" borderId="0" xfId="1" applyFont="1"/>
    <xf numFmtId="164" fontId="12" fillId="0" borderId="0" xfId="0" applyNumberFormat="1" applyFont="1" applyAlignment="1">
      <alignment vertical="top" wrapText="1"/>
    </xf>
    <xf numFmtId="164" fontId="12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left" wrapText="1"/>
    </xf>
    <xf numFmtId="165" fontId="47" fillId="0" borderId="0" xfId="0" applyNumberFormat="1" applyFont="1" applyAlignment="1">
      <alignment wrapText="1"/>
    </xf>
    <xf numFmtId="171" fontId="46" fillId="0" borderId="16" xfId="0" applyNumberFormat="1" applyFont="1" applyBorder="1" applyAlignment="1">
      <alignment horizontal="right" wrapText="1"/>
    </xf>
    <xf numFmtId="17" fontId="2" fillId="2" borderId="25" xfId="0" applyNumberFormat="1" applyFont="1" applyFill="1" applyBorder="1" applyAlignment="1">
      <alignment horizontal="center" vertical="center" wrapText="1"/>
    </xf>
    <xf numFmtId="17" fontId="2" fillId="2" borderId="26" xfId="0" applyNumberFormat="1" applyFont="1" applyFill="1" applyBorder="1" applyAlignment="1">
      <alignment horizontal="center" vertical="center" wrapText="1"/>
    </xf>
    <xf numFmtId="17" fontId="2" fillId="2" borderId="27" xfId="0" applyNumberFormat="1" applyFont="1" applyFill="1" applyBorder="1" applyAlignment="1">
      <alignment horizontal="center" vertical="center" wrapText="1"/>
    </xf>
    <xf numFmtId="171" fontId="46" fillId="0" borderId="10" xfId="0" applyNumberFormat="1" applyFont="1" applyBorder="1" applyAlignment="1">
      <alignment horizontal="right" wrapText="1"/>
    </xf>
    <xf numFmtId="171" fontId="0" fillId="0" borderId="0" xfId="0" applyNumberFormat="1" applyAlignment="1">
      <alignment vertical="top"/>
    </xf>
    <xf numFmtId="171" fontId="46" fillId="0" borderId="28" xfId="0" applyNumberFormat="1" applyFont="1" applyBorder="1" applyAlignment="1">
      <alignment horizontal="right" wrapText="1"/>
    </xf>
    <xf numFmtId="0" fontId="50" fillId="0" borderId="17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165" fontId="52" fillId="0" borderId="0" xfId="0" applyNumberFormat="1" applyFont="1" applyAlignment="1">
      <alignment wrapText="1"/>
    </xf>
    <xf numFmtId="165" fontId="52" fillId="0" borderId="0" xfId="0" applyNumberFormat="1" applyFont="1" applyAlignment="1">
      <alignment horizontal="right" wrapText="1"/>
    </xf>
    <xf numFmtId="171" fontId="51" fillId="0" borderId="16" xfId="0" applyNumberFormat="1" applyFont="1" applyBorder="1" applyAlignment="1">
      <alignment horizontal="right" wrapText="1"/>
    </xf>
    <xf numFmtId="171" fontId="51" fillId="0" borderId="10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" fontId="2" fillId="2" borderId="13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</xdr:colOff>
      <xdr:row>0</xdr:row>
      <xdr:rowOff>30479</xdr:rowOff>
    </xdr:from>
    <xdr:to>
      <xdr:col>0</xdr:col>
      <xdr:colOff>1117600</xdr:colOff>
      <xdr:row>4</xdr:row>
      <xdr:rowOff>35432</xdr:rowOff>
    </xdr:to>
    <xdr:pic>
      <xdr:nvPicPr>
        <xdr:cNvPr id="2" name="Picture 1" descr="Company logo">
          <a:extLst>
            <a:ext uri="{FF2B5EF4-FFF2-40B4-BE49-F238E27FC236}">
              <a16:creationId xmlns:a16="http://schemas.microsoft.com/office/drawing/2014/main" id="{6A21316F-9236-FB47-8AB0-5161168A1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80" y="30479"/>
          <a:ext cx="1036320" cy="834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49106</xdr:colOff>
      <xdr:row>0</xdr:row>
      <xdr:rowOff>0</xdr:rowOff>
    </xdr:from>
    <xdr:to>
      <xdr:col>0</xdr:col>
      <xdr:colOff>1085426</xdr:colOff>
      <xdr:row>4</xdr:row>
      <xdr:rowOff>21886</xdr:rowOff>
    </xdr:to>
    <xdr:pic>
      <xdr:nvPicPr>
        <xdr:cNvPr id="3" name="Picture 2" descr="Company logo">
          <a:extLst>
            <a:ext uri="{FF2B5EF4-FFF2-40B4-BE49-F238E27FC236}">
              <a16:creationId xmlns:a16="http://schemas.microsoft.com/office/drawing/2014/main" id="{667C5CC8-C02D-F4AD-A861-9EFC74406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06" y="0"/>
          <a:ext cx="1036320" cy="834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142</xdr:row>
      <xdr:rowOff>57150</xdr:rowOff>
    </xdr:from>
    <xdr:ext cx="1704975" cy="523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C04D5768-8D82-9D49-8A44-4D19B41F19C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190950"/>
          <a:ext cx="1704975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93"/>
  <sheetViews>
    <sheetView tabSelected="1" zoomScale="125" zoomScaleNormal="125" workbookViewId="0">
      <selection activeCell="F30" sqref="F30"/>
    </sheetView>
  </sheetViews>
  <sheetFormatPr baseColWidth="10" defaultColWidth="12.6640625" defaultRowHeight="15" customHeight="1"/>
  <cols>
    <col min="1" max="1" width="25.33203125" customWidth="1"/>
    <col min="2" max="2" width="17.33203125" customWidth="1"/>
    <col min="3" max="14" width="13.83203125" customWidth="1"/>
    <col min="15" max="21" width="9.33203125" customWidth="1"/>
  </cols>
  <sheetData>
    <row r="1" spans="1:21">
      <c r="A1" s="1"/>
      <c r="B1" s="2"/>
      <c r="C1" s="2"/>
      <c r="D1" s="2"/>
      <c r="E1" s="2"/>
      <c r="F1" s="2"/>
      <c r="G1" s="2" t="s">
        <v>0</v>
      </c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2"/>
      <c r="C2" s="2"/>
      <c r="D2" s="2"/>
      <c r="E2" s="2"/>
      <c r="F2" s="2"/>
      <c r="G2" s="2" t="s">
        <v>286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2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" thickBot="1">
      <c r="A4" s="2"/>
      <c r="B4" s="3"/>
      <c r="C4" s="3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thickBot="1">
      <c r="A5" s="5"/>
      <c r="B5" s="6"/>
      <c r="C5" s="240" t="s">
        <v>1</v>
      </c>
      <c r="D5" s="241"/>
      <c r="E5" s="241"/>
      <c r="F5" s="241"/>
      <c r="G5" s="241"/>
      <c r="H5" s="241"/>
      <c r="I5" s="241"/>
      <c r="J5" s="239" t="s">
        <v>106</v>
      </c>
      <c r="K5" s="239"/>
      <c r="L5" s="239"/>
      <c r="M5" s="239"/>
      <c r="N5" s="239"/>
      <c r="O5" s="5"/>
      <c r="P5" s="5"/>
      <c r="Q5" s="5"/>
      <c r="R5" s="5"/>
      <c r="S5" s="5"/>
      <c r="T5" s="5"/>
      <c r="U5" s="5"/>
    </row>
    <row r="6" spans="1:21" ht="17" thickBot="1">
      <c r="A6" s="5"/>
      <c r="B6" s="6"/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2</v>
      </c>
      <c r="J6" s="7" t="s">
        <v>3</v>
      </c>
      <c r="K6" s="7" t="s">
        <v>4</v>
      </c>
      <c r="L6" s="7" t="s">
        <v>5</v>
      </c>
      <c r="M6" s="7" t="s">
        <v>6</v>
      </c>
      <c r="N6" s="7" t="s">
        <v>7</v>
      </c>
      <c r="O6" s="5"/>
      <c r="P6" s="5"/>
      <c r="Q6" s="5"/>
      <c r="R6" s="5"/>
      <c r="S6" s="5"/>
      <c r="T6" s="5"/>
      <c r="U6" s="5"/>
    </row>
    <row r="7" spans="1:21" ht="18" customHeight="1" thickBot="1">
      <c r="A7" s="9" t="s">
        <v>15</v>
      </c>
      <c r="B7" s="11">
        <v>932625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1"/>
      <c r="S7" s="1"/>
      <c r="T7" s="1"/>
      <c r="U7" s="1"/>
    </row>
    <row r="8" spans="1:21" ht="19" customHeight="1" thickBot="1">
      <c r="A8" s="8" t="s">
        <v>14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"/>
      <c r="P8" s="1"/>
      <c r="Q8" s="1"/>
      <c r="R8" s="1"/>
      <c r="S8" s="1"/>
      <c r="T8" s="1"/>
      <c r="U8" s="1"/>
    </row>
    <row r="9" spans="1:21">
      <c r="A9" s="12" t="s">
        <v>16</v>
      </c>
      <c r="B9" s="13"/>
      <c r="C9" s="14">
        <f>+'YTD P&amp;L FY2023'!B7</f>
        <v>2500</v>
      </c>
      <c r="D9" s="14">
        <f>+'YTD P&amp;L FY2023'!C7</f>
        <v>400</v>
      </c>
      <c r="E9" s="14">
        <f>+'YTD P&amp;L FY2023'!D7</f>
        <v>67100</v>
      </c>
      <c r="F9" s="14">
        <f>+'YTD P&amp;L FY2023'!E7</f>
        <v>0</v>
      </c>
      <c r="G9" s="14">
        <f>+'YTD P&amp;L FY2023'!F7</f>
        <v>137800</v>
      </c>
      <c r="H9" s="14">
        <f>+'YTD P&amp;L FY2023'!G7</f>
        <v>179500</v>
      </c>
      <c r="I9" s="14">
        <f>+'YTD P&amp;L FY2023'!H7</f>
        <v>5500</v>
      </c>
      <c r="J9" s="14">
        <f>+'2023 Budget'!$F$7</f>
        <v>44475.666666666664</v>
      </c>
      <c r="K9" s="14">
        <f>+'2023 Budget'!$F$7</f>
        <v>44475.666666666664</v>
      </c>
      <c r="L9" s="14">
        <f>+'2023 Budget'!$F$7</f>
        <v>44475.666666666664</v>
      </c>
      <c r="M9" s="14">
        <f>+'2023 Budget'!$F$7</f>
        <v>44475.666666666664</v>
      </c>
      <c r="N9" s="14">
        <f>+'2023 Budget'!$F$7</f>
        <v>44475.666666666664</v>
      </c>
      <c r="O9" s="1"/>
      <c r="P9" s="1"/>
      <c r="Q9" s="1"/>
      <c r="R9" s="1"/>
      <c r="S9" s="1"/>
      <c r="T9" s="1"/>
      <c r="U9" s="1"/>
    </row>
    <row r="10" spans="1:21">
      <c r="A10" s="12" t="s">
        <v>17</v>
      </c>
      <c r="B10" s="15"/>
      <c r="C10" s="15">
        <f>+'YTD P&amp;L FY2023'!B8</f>
        <v>1000</v>
      </c>
      <c r="D10" s="15">
        <f>+'YTD P&amp;L FY2023'!C8</f>
        <v>0</v>
      </c>
      <c r="E10" s="15">
        <f>+'YTD P&amp;L FY2023'!D8</f>
        <v>55.37</v>
      </c>
      <c r="F10" s="15">
        <f>+'YTD P&amp;L FY2023'!E8</f>
        <v>0</v>
      </c>
      <c r="G10" s="15">
        <f>+'YTD P&amp;L FY2023'!F8</f>
        <v>49.28</v>
      </c>
      <c r="H10" s="15">
        <f>+'YTD P&amp;L FY2023'!G8</f>
        <v>0</v>
      </c>
      <c r="I10" s="15">
        <f>+'YTD P&amp;L FY2023'!H8</f>
        <v>0</v>
      </c>
      <c r="J10" s="35">
        <f>+'2023 Budget'!$F$12</f>
        <v>872.5</v>
      </c>
      <c r="K10" s="35">
        <f>+'2023 Budget'!$F$12</f>
        <v>872.5</v>
      </c>
      <c r="L10" s="35">
        <f>+'2023 Budget'!$F$12</f>
        <v>872.5</v>
      </c>
      <c r="M10" s="35">
        <f>+'2023 Budget'!$F$12</f>
        <v>872.5</v>
      </c>
      <c r="N10" s="35">
        <f>+'2023 Budget'!$F$12</f>
        <v>872.5</v>
      </c>
      <c r="O10" s="16"/>
      <c r="P10" s="16"/>
      <c r="Q10" s="16"/>
      <c r="R10" s="16"/>
      <c r="S10" s="16"/>
      <c r="T10" s="16"/>
      <c r="U10" s="16"/>
    </row>
    <row r="11" spans="1:21">
      <c r="A11" s="12" t="s">
        <v>322</v>
      </c>
      <c r="B11" s="15"/>
      <c r="C11" s="18">
        <v>0</v>
      </c>
      <c r="D11" s="18">
        <v>0</v>
      </c>
      <c r="E11" s="18">
        <v>0</v>
      </c>
      <c r="F11" s="18">
        <f>+'YTD P&amp;L FY2023'!E9</f>
        <v>144830</v>
      </c>
      <c r="G11" s="18">
        <f>+'YTD P&amp;L FY2023'!F9</f>
        <v>0</v>
      </c>
      <c r="H11" s="18">
        <f>+'YTD P&amp;L FY2023'!G9</f>
        <v>0</v>
      </c>
      <c r="I11" s="18">
        <f>+'YTD P&amp;L FY2023'!H9</f>
        <v>0</v>
      </c>
      <c r="J11" s="36"/>
      <c r="K11" s="36"/>
      <c r="L11" s="36"/>
      <c r="M11" s="36"/>
      <c r="N11" s="36"/>
      <c r="O11" s="16"/>
      <c r="P11" s="16"/>
      <c r="Q11" s="16"/>
      <c r="R11" s="16"/>
      <c r="S11" s="16"/>
      <c r="T11" s="16"/>
      <c r="U11" s="16"/>
    </row>
    <row r="12" spans="1:21">
      <c r="A12" s="12" t="s">
        <v>18</v>
      </c>
      <c r="B12" s="17"/>
      <c r="C12" s="18">
        <f>+'YTD P&amp;L FY2023'!B12</f>
        <v>671.37</v>
      </c>
      <c r="D12" s="18">
        <f>+'YTD P&amp;L FY2023'!C12</f>
        <v>7792.3</v>
      </c>
      <c r="E12" s="18">
        <f>+'YTD P&amp;L FY2023'!D12</f>
        <v>11281.75</v>
      </c>
      <c r="F12" s="18">
        <f>+'YTD P&amp;L FY2023'!E12</f>
        <v>8316.25</v>
      </c>
      <c r="G12" s="18">
        <f>+'YTD P&amp;L FY2023'!F12</f>
        <v>8849.61</v>
      </c>
      <c r="H12" s="18">
        <f>+'YTD P&amp;L FY2023'!G12</f>
        <v>60362.02</v>
      </c>
      <c r="I12" s="18">
        <f>+'YTD P&amp;L FY2023'!H12</f>
        <v>1336.25</v>
      </c>
      <c r="J12" s="36">
        <f>+'2023 Budget'!$F$14+'2023 Budget'!$F$15+'2023 Budget'!$F$16</f>
        <v>8956.1666666666679</v>
      </c>
      <c r="K12" s="36">
        <f>+'2023 Budget'!$F$14+'2023 Budget'!$F$15+'2023 Budget'!$F$16</f>
        <v>8956.1666666666679</v>
      </c>
      <c r="L12" s="36">
        <f>+'2023 Budget'!$F$14+'2023 Budget'!$F$15+'2023 Budget'!$F$16</f>
        <v>8956.1666666666679</v>
      </c>
      <c r="M12" s="36">
        <f>+'2023 Budget'!$F$14+'2023 Budget'!$F$15+'2023 Budget'!$F$16</f>
        <v>8956.1666666666679</v>
      </c>
      <c r="N12" s="36">
        <f>+'2023 Budget'!$F$14+'2023 Budget'!$F$15+'2023 Budget'!$F$16</f>
        <v>8956.1666666666679</v>
      </c>
      <c r="O12" s="1"/>
      <c r="P12" s="1"/>
      <c r="Q12" s="1"/>
      <c r="R12" s="1"/>
      <c r="S12" s="1"/>
      <c r="T12" s="1"/>
      <c r="U12" s="1"/>
    </row>
    <row r="13" spans="1:21" ht="16" thickBot="1">
      <c r="A13" s="12" t="s">
        <v>19</v>
      </c>
      <c r="B13" s="15"/>
      <c r="C13" s="19">
        <f>+'YTD P&amp;L FY2023'!B84</f>
        <v>1419.95</v>
      </c>
      <c r="D13" s="19">
        <f>+'YTD P&amp;L FY2023'!C84</f>
        <v>1763.89</v>
      </c>
      <c r="E13" s="19">
        <f>+'YTD P&amp;L FY2023'!D84</f>
        <v>2097.1099999999997</v>
      </c>
      <c r="F13" s="19">
        <f>+'YTD P&amp;L FY2023'!E84</f>
        <v>2715.36</v>
      </c>
      <c r="G13" s="19">
        <f>+'YTD P&amp;L FY2023'!F84</f>
        <v>3307.42</v>
      </c>
      <c r="H13" s="19">
        <f>+'YTD P&amp;L FY2023'!G84</f>
        <v>3830.83</v>
      </c>
      <c r="I13" s="19">
        <f>+'YTD P&amp;L FY2023'!H84</f>
        <v>4092.85</v>
      </c>
      <c r="J13" s="37">
        <f>+'2023 Budget'!$F$22</f>
        <v>880.25</v>
      </c>
      <c r="K13" s="37">
        <f>+'2023 Budget'!$F$22</f>
        <v>880.25</v>
      </c>
      <c r="L13" s="37">
        <f>+'2023 Budget'!$F$22</f>
        <v>880.25</v>
      </c>
      <c r="M13" s="37">
        <f>+'2023 Budget'!$F$22</f>
        <v>880.25</v>
      </c>
      <c r="N13" s="37">
        <f>+'2023 Budget'!$F$22</f>
        <v>880.25</v>
      </c>
      <c r="O13" s="16"/>
      <c r="P13" s="16"/>
      <c r="Q13" s="16"/>
      <c r="R13" s="16"/>
      <c r="S13" s="16"/>
      <c r="T13" s="16"/>
      <c r="U13" s="16"/>
    </row>
    <row r="14" spans="1:21">
      <c r="A14" s="20" t="s">
        <v>290</v>
      </c>
      <c r="B14" s="20">
        <f>+B7</f>
        <v>932625</v>
      </c>
      <c r="C14" s="20">
        <f>SUM(C9:C13)</f>
        <v>5591.32</v>
      </c>
      <c r="D14" s="20">
        <f t="shared" ref="D14:H14" si="0">SUM(D9:D13)</f>
        <v>9956.1899999999987</v>
      </c>
      <c r="E14" s="20">
        <f t="shared" si="0"/>
        <v>80534.23</v>
      </c>
      <c r="F14" s="20">
        <f t="shared" si="0"/>
        <v>155861.60999999999</v>
      </c>
      <c r="G14" s="20">
        <f t="shared" si="0"/>
        <v>150006.31000000003</v>
      </c>
      <c r="H14" s="20">
        <f t="shared" si="0"/>
        <v>243692.84999999998</v>
      </c>
      <c r="I14" s="20">
        <f>SUM(I9:I13)+I8</f>
        <v>10929.1</v>
      </c>
      <c r="J14" s="20">
        <f>SUM(J9:J13)</f>
        <v>55184.583333333328</v>
      </c>
      <c r="K14" s="20">
        <f>SUM(K9:K13)</f>
        <v>55184.583333333328</v>
      </c>
      <c r="L14" s="20">
        <f>SUM(L9:L13)</f>
        <v>55184.583333333328</v>
      </c>
      <c r="M14" s="20">
        <f>SUM(M9:M13)</f>
        <v>55184.583333333328</v>
      </c>
      <c r="N14" s="20">
        <f>SUM(N9:N13)</f>
        <v>55184.583333333328</v>
      </c>
      <c r="O14" s="1"/>
      <c r="P14" s="1"/>
      <c r="R14" s="1"/>
      <c r="S14" s="1"/>
      <c r="T14" s="1"/>
      <c r="U14" s="1"/>
    </row>
    <row r="15" spans="1:21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6"/>
      <c r="P15" s="16"/>
      <c r="Q15" s="1"/>
      <c r="R15" s="16"/>
      <c r="S15" s="16"/>
      <c r="T15" s="16"/>
      <c r="U15" s="16"/>
    </row>
    <row r="16" spans="1:21">
      <c r="A16" s="8" t="s">
        <v>20</v>
      </c>
      <c r="B16" s="6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>
      <c r="A17" s="22" t="s">
        <v>21</v>
      </c>
      <c r="B17" s="17"/>
      <c r="C17" s="17">
        <f>+'YTD P&amp;L FY2023'!B40</f>
        <v>70840.179999999993</v>
      </c>
      <c r="D17" s="17">
        <f>+'YTD P&amp;L FY2023'!C40</f>
        <v>72884.23</v>
      </c>
      <c r="E17" s="17">
        <f>+'YTD P&amp;L FY2023'!D40</f>
        <v>74436.220000000016</v>
      </c>
      <c r="F17" s="17">
        <f>+'YTD P&amp;L FY2023'!E40</f>
        <v>73671.899999999994</v>
      </c>
      <c r="G17" s="17">
        <f>+'YTD P&amp;L FY2023'!F40</f>
        <v>70225.709999999992</v>
      </c>
      <c r="H17" s="17">
        <f>+'YTD P&amp;L FY2023'!G40</f>
        <v>92956.420000000013</v>
      </c>
      <c r="I17" s="17">
        <f>+'YTD P&amp;L FY2023'!H40</f>
        <v>77926.069999999992</v>
      </c>
      <c r="J17" s="38">
        <f>+'2023 Budget'!$F$55</f>
        <v>78590.833333333328</v>
      </c>
      <c r="K17" s="38">
        <f>+'2023 Budget'!$F$55</f>
        <v>78590.833333333328</v>
      </c>
      <c r="L17" s="38">
        <f>+'2023 Budget'!$F$55</f>
        <v>78590.833333333328</v>
      </c>
      <c r="M17" s="38">
        <f>+'2023 Budget'!$F$55</f>
        <v>78590.833333333328</v>
      </c>
      <c r="N17" s="38">
        <f>+'2023 Budget'!$F$55</f>
        <v>78590.833333333328</v>
      </c>
      <c r="O17" s="1"/>
      <c r="P17" s="1"/>
      <c r="Q17" s="1"/>
      <c r="R17" s="1"/>
      <c r="S17" s="1"/>
      <c r="T17" s="1"/>
      <c r="U17" s="1"/>
    </row>
    <row r="18" spans="1:21" ht="15.75" customHeight="1" thickBot="1">
      <c r="A18" s="23" t="s">
        <v>22</v>
      </c>
      <c r="B18" s="24"/>
      <c r="C18" s="24">
        <f>+'YTD P&amp;L FY2023'!B77</f>
        <v>9339.18</v>
      </c>
      <c r="D18" s="24">
        <f>+'YTD P&amp;L FY2023'!C77</f>
        <v>50363.96</v>
      </c>
      <c r="E18" s="24">
        <f>+'YTD P&amp;L FY2023'!D77</f>
        <v>4452.67</v>
      </c>
      <c r="F18" s="24">
        <f>+'YTD P&amp;L FY2023'!E77</f>
        <v>4448.76</v>
      </c>
      <c r="G18" s="24">
        <f>+'YTD P&amp;L FY2023'!F77</f>
        <v>1348.6700000000003</v>
      </c>
      <c r="H18" s="24">
        <f>+'YTD P&amp;L FY2023'!G77</f>
        <v>4694.1399999999994</v>
      </c>
      <c r="I18" s="24">
        <f>+'YTD P&amp;L FY2023'!H77</f>
        <v>545.78</v>
      </c>
      <c r="J18" s="39">
        <f>+'2023 Budget'!$F$123</f>
        <v>9027.0833333333339</v>
      </c>
      <c r="K18" s="39">
        <f>+'2023 Budget'!$F$123</f>
        <v>9027.0833333333339</v>
      </c>
      <c r="L18" s="39">
        <f>+'2023 Budget'!$F$123</f>
        <v>9027.0833333333339</v>
      </c>
      <c r="M18" s="39">
        <f>+'2023 Budget'!$F$123</f>
        <v>9027.0833333333339</v>
      </c>
      <c r="N18" s="39">
        <f>+'2023 Budget'!$F$123</f>
        <v>9027.0833333333339</v>
      </c>
      <c r="O18" s="1"/>
      <c r="P18" s="1"/>
      <c r="Q18" s="1"/>
      <c r="R18" s="1"/>
      <c r="S18" s="1"/>
      <c r="T18" s="1"/>
      <c r="U18" s="1"/>
    </row>
    <row r="19" spans="1:21" ht="15.75" customHeight="1" thickBot="1">
      <c r="A19" s="25" t="s">
        <v>23</v>
      </c>
      <c r="B19" s="25">
        <v>0</v>
      </c>
      <c r="C19" s="25">
        <f t="shared" ref="C19:H19" si="1">SUM(C17:C18)</f>
        <v>80179.359999999986</v>
      </c>
      <c r="D19" s="25">
        <f t="shared" si="1"/>
        <v>123248.19</v>
      </c>
      <c r="E19" s="25">
        <f t="shared" si="1"/>
        <v>78888.890000000014</v>
      </c>
      <c r="F19" s="25">
        <f t="shared" si="1"/>
        <v>78120.659999999989</v>
      </c>
      <c r="G19" s="25">
        <f t="shared" si="1"/>
        <v>71574.37999999999</v>
      </c>
      <c r="H19" s="25">
        <f t="shared" si="1"/>
        <v>97650.560000000012</v>
      </c>
      <c r="I19" s="25">
        <f t="shared" ref="I19:N19" si="2">SUM(I17:I18)</f>
        <v>78471.849999999991</v>
      </c>
      <c r="J19" s="40">
        <f t="shared" si="2"/>
        <v>87617.916666666657</v>
      </c>
      <c r="K19" s="40">
        <f t="shared" si="2"/>
        <v>87617.916666666657</v>
      </c>
      <c r="L19" s="40">
        <f t="shared" si="2"/>
        <v>87617.916666666657</v>
      </c>
      <c r="M19" s="40">
        <f t="shared" si="2"/>
        <v>87617.916666666657</v>
      </c>
      <c r="N19" s="40">
        <f t="shared" si="2"/>
        <v>87617.916666666657</v>
      </c>
      <c r="O19" s="1"/>
      <c r="P19" s="1"/>
      <c r="Q19" s="1"/>
      <c r="R19" s="1"/>
      <c r="S19" s="1"/>
      <c r="T19" s="1"/>
      <c r="U19" s="1"/>
    </row>
    <row r="20" spans="1:21" ht="15.75" customHeight="1" thickTop="1">
      <c r="A20" s="26" t="s">
        <v>24</v>
      </c>
      <c r="B20" s="27"/>
      <c r="C20" s="27">
        <f>C14-C17-C18</f>
        <v>-74588.039999999994</v>
      </c>
      <c r="D20" s="27">
        <f>D14-D17-D18</f>
        <v>-113292</v>
      </c>
      <c r="E20" s="27">
        <f t="shared" ref="E20:N20" si="3">E14-E17-E18</f>
        <v>1645.3399999999801</v>
      </c>
      <c r="F20" s="27">
        <f t="shared" si="3"/>
        <v>77740.95</v>
      </c>
      <c r="G20" s="27">
        <f t="shared" si="3"/>
        <v>78431.930000000037</v>
      </c>
      <c r="H20" s="27">
        <f t="shared" si="3"/>
        <v>146042.28999999998</v>
      </c>
      <c r="I20" s="27">
        <f t="shared" si="3"/>
        <v>-67542.749999999985</v>
      </c>
      <c r="J20" s="27">
        <f t="shared" si="3"/>
        <v>-32433.333333333336</v>
      </c>
      <c r="K20" s="27">
        <f t="shared" si="3"/>
        <v>-32433.333333333336</v>
      </c>
      <c r="L20" s="27">
        <f t="shared" si="3"/>
        <v>-32433.333333333336</v>
      </c>
      <c r="M20" s="27">
        <f t="shared" si="3"/>
        <v>-32433.333333333336</v>
      </c>
      <c r="N20" s="27">
        <f t="shared" si="3"/>
        <v>-32433.333333333336</v>
      </c>
      <c r="O20" s="1"/>
      <c r="P20" s="1"/>
      <c r="Q20" s="1"/>
      <c r="R20" s="1"/>
      <c r="S20" s="1"/>
      <c r="T20" s="1"/>
      <c r="U20" s="1"/>
    </row>
    <row r="21" spans="1:21" ht="15.75" customHeight="1">
      <c r="A21" s="28" t="s">
        <v>25</v>
      </c>
      <c r="B21" s="29">
        <f>+B7</f>
        <v>932625</v>
      </c>
      <c r="C21" s="29">
        <f>+B21+C20</f>
        <v>858036.96</v>
      </c>
      <c r="D21" s="29">
        <f t="shared" ref="D21:N21" si="4">C21+D20</f>
        <v>744744.95999999996</v>
      </c>
      <c r="E21" s="29">
        <f t="shared" si="4"/>
        <v>746390.29999999993</v>
      </c>
      <c r="F21" s="29">
        <f t="shared" si="4"/>
        <v>824131.24999999988</v>
      </c>
      <c r="G21" s="29">
        <f t="shared" si="4"/>
        <v>902563.17999999993</v>
      </c>
      <c r="H21" s="29">
        <f t="shared" si="4"/>
        <v>1048605.47</v>
      </c>
      <c r="I21" s="29">
        <f t="shared" si="4"/>
        <v>981062.72</v>
      </c>
      <c r="J21" s="29">
        <f t="shared" si="4"/>
        <v>948629.3866666666</v>
      </c>
      <c r="K21" s="29">
        <f t="shared" si="4"/>
        <v>916196.05333333323</v>
      </c>
      <c r="L21" s="29">
        <f t="shared" si="4"/>
        <v>883762.71999999986</v>
      </c>
      <c r="M21" s="29">
        <f t="shared" si="4"/>
        <v>851329.38666666648</v>
      </c>
      <c r="N21" s="29">
        <f t="shared" si="4"/>
        <v>818896.05333333311</v>
      </c>
      <c r="O21" s="1"/>
      <c r="P21" s="1"/>
      <c r="Q21" s="1"/>
      <c r="R21" s="1"/>
      <c r="S21" s="1"/>
      <c r="T21" s="1"/>
      <c r="U21" s="1"/>
    </row>
    <row r="22" spans="1:21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customHeight="1">
      <c r="A23" s="30"/>
      <c r="B23" s="31"/>
      <c r="C23" s="237"/>
      <c r="D23" s="237"/>
      <c r="E23" s="237"/>
      <c r="F23" s="237"/>
      <c r="G23" s="237"/>
      <c r="H23" s="237"/>
      <c r="I23" s="237"/>
      <c r="J23" s="3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>
      <c r="A24" s="1"/>
      <c r="B24" s="1"/>
      <c r="C24" s="32"/>
      <c r="D24" s="32"/>
      <c r="E24" s="32"/>
      <c r="F24" s="32"/>
      <c r="G24" s="32"/>
      <c r="H24" s="32"/>
      <c r="I24" s="32"/>
      <c r="J24" s="1"/>
      <c r="K24" s="2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>
      <c r="A25" s="1"/>
      <c r="B25" s="33"/>
      <c r="C25" s="33"/>
      <c r="D25" s="33"/>
      <c r="E25" s="33"/>
      <c r="F25" s="33"/>
      <c r="G25" s="33"/>
      <c r="H25" s="33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>
      <c r="A26" s="1"/>
      <c r="B26" s="33"/>
      <c r="C26" s="32"/>
      <c r="D26" s="32"/>
      <c r="E26" s="32"/>
      <c r="F26" s="32"/>
      <c r="G26" s="32"/>
      <c r="H26" s="32"/>
      <c r="I26" s="32"/>
      <c r="J26" s="32"/>
      <c r="K26" s="32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>
      <c r="A27" s="1"/>
      <c r="B27" s="1"/>
      <c r="C27" s="32"/>
      <c r="D27" s="32"/>
      <c r="E27" s="32"/>
      <c r="F27" s="32"/>
      <c r="G27" s="32"/>
      <c r="H27" s="3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>
      <c r="A28" s="1"/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.75" customHeight="1">
      <c r="A30" s="1"/>
      <c r="B30" s="33"/>
      <c r="C30" s="43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>
      <c r="A31" s="1"/>
      <c r="B31" s="1"/>
      <c r="C31" s="32"/>
      <c r="D31" s="32"/>
      <c r="E31" s="32"/>
      <c r="F31" s="32"/>
      <c r="G31" s="32"/>
      <c r="H31" s="32"/>
      <c r="I31" s="32"/>
      <c r="J31" s="43"/>
      <c r="K31" s="43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>
      <c r="A33" s="1"/>
      <c r="B33" s="1"/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>
      <c r="A34" s="1"/>
      <c r="B34" s="1"/>
      <c r="C34" s="1"/>
      <c r="D34" s="1"/>
      <c r="E34" s="1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>
      <c r="A35" s="1"/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>
      <c r="A37" s="1"/>
      <c r="B37" s="1"/>
      <c r="C37" s="21"/>
      <c r="D37" s="21"/>
      <c r="E37" s="21"/>
      <c r="F37" s="21"/>
      <c r="G37" s="21"/>
      <c r="H37" s="21"/>
      <c r="I37" s="21"/>
      <c r="J37" s="21"/>
      <c r="K37" s="2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>
      <c r="A39" s="1"/>
      <c r="B39" s="1"/>
      <c r="C39" s="21"/>
      <c r="D39" s="21"/>
      <c r="E39" s="21"/>
      <c r="F39" s="21"/>
      <c r="G39" s="21"/>
      <c r="H39" s="21"/>
      <c r="I39" s="21"/>
      <c r="J39" s="21"/>
      <c r="K39" s="2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2">
    <mergeCell ref="J5:N5"/>
    <mergeCell ref="C5:I5"/>
  </mergeCells>
  <phoneticPr fontId="8" type="noConversion"/>
  <pageMargins left="0.25" right="0.25" top="0.75" bottom="0.75" header="0" footer="0"/>
  <pageSetup scale="6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55"/>
  <sheetViews>
    <sheetView topLeftCell="A8" zoomScale="150" zoomScaleNormal="150" workbookViewId="0">
      <selection activeCell="O29" sqref="O29"/>
    </sheetView>
  </sheetViews>
  <sheetFormatPr baseColWidth="10" defaultColWidth="12.6640625" defaultRowHeight="15" customHeight="1"/>
  <cols>
    <col min="1" max="1" width="44.6640625" customWidth="1"/>
    <col min="2" max="2" width="14.6640625" customWidth="1"/>
    <col min="3" max="3" width="15.33203125" customWidth="1"/>
    <col min="4" max="4" width="14.83203125" customWidth="1"/>
  </cols>
  <sheetData>
    <row r="1" spans="1:19" ht="18">
      <c r="A1" s="244" t="s">
        <v>287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34"/>
      <c r="O1" s="34"/>
      <c r="P1" s="34"/>
      <c r="Q1" s="34"/>
      <c r="R1" s="34"/>
      <c r="S1" s="34"/>
    </row>
    <row r="2" spans="1:19" ht="18">
      <c r="A2" s="244" t="s">
        <v>291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34"/>
      <c r="O2" s="34"/>
      <c r="P2" s="34"/>
      <c r="Q2" s="34"/>
      <c r="R2" s="34"/>
      <c r="S2" s="34"/>
    </row>
    <row r="3" spans="1:19" ht="14">
      <c r="A3" s="245" t="s">
        <v>330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34"/>
      <c r="O3" s="34"/>
      <c r="P3" s="34"/>
      <c r="Q3" s="34"/>
      <c r="R3" s="34"/>
      <c r="S3" s="34"/>
    </row>
    <row r="4" spans="1:19" thickBot="1">
      <c r="K4" s="34"/>
      <c r="L4" s="34"/>
      <c r="M4" s="34"/>
      <c r="N4" s="34"/>
      <c r="O4" s="34"/>
      <c r="P4" s="34"/>
      <c r="Q4" s="34"/>
      <c r="R4" s="34"/>
      <c r="S4" s="34"/>
    </row>
    <row r="5" spans="1:19" ht="16" thickBot="1">
      <c r="A5" s="220"/>
      <c r="B5" s="240" t="s">
        <v>318</v>
      </c>
      <c r="C5" s="241"/>
      <c r="D5" s="242"/>
      <c r="E5" s="240" t="s">
        <v>331</v>
      </c>
      <c r="F5" s="241"/>
      <c r="G5" s="242"/>
      <c r="H5" s="243">
        <v>44927</v>
      </c>
      <c r="I5" s="241">
        <v>44927</v>
      </c>
      <c r="J5" s="242"/>
      <c r="K5" s="240" t="s">
        <v>319</v>
      </c>
      <c r="L5" s="241"/>
      <c r="M5" s="242"/>
      <c r="N5" s="34"/>
      <c r="O5" s="34"/>
      <c r="P5" s="34"/>
      <c r="Q5" s="34"/>
      <c r="R5" s="34"/>
      <c r="S5" s="34"/>
    </row>
    <row r="6" spans="1:19" ht="26" customHeight="1" thickBot="1">
      <c r="A6" s="220"/>
      <c r="B6" s="227" t="s">
        <v>1</v>
      </c>
      <c r="C6" s="228" t="s">
        <v>106</v>
      </c>
      <c r="D6" s="229" t="s">
        <v>317</v>
      </c>
      <c r="E6" s="227" t="s">
        <v>1</v>
      </c>
      <c r="F6" s="228" t="s">
        <v>106</v>
      </c>
      <c r="G6" s="229" t="s">
        <v>317</v>
      </c>
      <c r="H6" s="227" t="s">
        <v>1</v>
      </c>
      <c r="I6" s="228" t="s">
        <v>106</v>
      </c>
      <c r="J6" s="229" t="s">
        <v>317</v>
      </c>
      <c r="K6" s="227" t="s">
        <v>1</v>
      </c>
      <c r="L6" s="228" t="s">
        <v>106</v>
      </c>
      <c r="M6" s="229" t="s">
        <v>317</v>
      </c>
      <c r="N6" s="34"/>
      <c r="O6" s="34"/>
      <c r="P6" s="34"/>
      <c r="Q6" s="34"/>
      <c r="R6" s="34"/>
      <c r="S6" s="34"/>
    </row>
    <row r="7" spans="1:19" ht="14">
      <c r="A7" s="224" t="s">
        <v>101</v>
      </c>
      <c r="B7" s="225"/>
      <c r="C7" s="225"/>
      <c r="D7" s="225"/>
      <c r="E7" s="225"/>
      <c r="F7" s="225"/>
      <c r="G7" s="225"/>
      <c r="H7" s="225"/>
      <c r="I7" s="225"/>
      <c r="J7" s="225"/>
      <c r="K7" s="34"/>
      <c r="L7" s="34"/>
      <c r="M7" s="34"/>
      <c r="N7" s="34"/>
      <c r="O7" s="34"/>
      <c r="P7" s="34"/>
      <c r="Q7" s="34"/>
      <c r="R7" s="34"/>
      <c r="S7" s="34"/>
    </row>
    <row r="8" spans="1:19" ht="14">
      <c r="A8" s="234" t="s">
        <v>27</v>
      </c>
      <c r="B8" s="236">
        <f>70000</f>
        <v>70000</v>
      </c>
      <c r="C8" s="236">
        <f>133428</f>
        <v>133428</v>
      </c>
      <c r="D8" s="236">
        <f t="shared" ref="D8:D16" si="0">(B8)-(C8)</f>
        <v>-63428</v>
      </c>
      <c r="E8" s="236">
        <f>317300</f>
        <v>317300</v>
      </c>
      <c r="F8" s="236">
        <f>133428</f>
        <v>133428</v>
      </c>
      <c r="G8" s="236">
        <f t="shared" ref="G8:G16" si="1">(E8)-(F8)</f>
        <v>183872</v>
      </c>
      <c r="H8" s="236">
        <f>5500</f>
        <v>5500</v>
      </c>
      <c r="I8" s="236">
        <f>44476</f>
        <v>44476</v>
      </c>
      <c r="J8" s="236">
        <f t="shared" ref="J8:J16" si="2">(H8)-(I8)</f>
        <v>-38976</v>
      </c>
      <c r="K8" s="236">
        <f t="shared" ref="K8:L16" si="3">((B8)+(E8))+(H8)</f>
        <v>392800</v>
      </c>
      <c r="L8" s="236">
        <f t="shared" si="3"/>
        <v>311332</v>
      </c>
      <c r="M8" s="236">
        <f t="shared" ref="M8:M16" si="4">(K8)-(L8)</f>
        <v>81468</v>
      </c>
      <c r="N8" s="34"/>
      <c r="O8" s="34"/>
      <c r="P8" s="34"/>
      <c r="Q8" s="34"/>
      <c r="R8" s="34"/>
      <c r="S8" s="34"/>
    </row>
    <row r="9" spans="1:19" ht="14">
      <c r="A9" s="234" t="s">
        <v>28</v>
      </c>
      <c r="B9" s="236">
        <f>1055.37</f>
        <v>1055.3699999999999</v>
      </c>
      <c r="C9" s="236">
        <f>2619</f>
        <v>2619</v>
      </c>
      <c r="D9" s="236">
        <f t="shared" si="0"/>
        <v>-1563.63</v>
      </c>
      <c r="E9" s="236">
        <f>49.28</f>
        <v>49.28</v>
      </c>
      <c r="F9" s="236">
        <f>2619</f>
        <v>2619</v>
      </c>
      <c r="G9" s="236">
        <f t="shared" si="1"/>
        <v>-2569.7199999999998</v>
      </c>
      <c r="H9" s="235"/>
      <c r="I9" s="236">
        <f>873</f>
        <v>873</v>
      </c>
      <c r="J9" s="236">
        <f t="shared" si="2"/>
        <v>-873</v>
      </c>
      <c r="K9" s="236">
        <f t="shared" si="3"/>
        <v>1104.6499999999999</v>
      </c>
      <c r="L9" s="236">
        <f t="shared" si="3"/>
        <v>6111</v>
      </c>
      <c r="M9" s="236">
        <f t="shared" si="4"/>
        <v>-5006.3500000000004</v>
      </c>
      <c r="N9" s="34"/>
      <c r="O9" s="34"/>
      <c r="P9" s="34"/>
      <c r="Q9" s="34"/>
      <c r="R9" s="34"/>
      <c r="S9" s="34"/>
    </row>
    <row r="10" spans="1:19" ht="14">
      <c r="A10" s="234" t="s">
        <v>324</v>
      </c>
      <c r="B10" s="235"/>
      <c r="C10" s="235"/>
      <c r="D10" s="236">
        <f t="shared" si="0"/>
        <v>0</v>
      </c>
      <c r="E10" s="236">
        <f>144830</f>
        <v>144830</v>
      </c>
      <c r="F10" s="235"/>
      <c r="G10" s="236">
        <f t="shared" si="1"/>
        <v>144830</v>
      </c>
      <c r="H10" s="235"/>
      <c r="I10" s="235"/>
      <c r="J10" s="236">
        <f t="shared" si="2"/>
        <v>0</v>
      </c>
      <c r="K10" s="236">
        <f t="shared" si="3"/>
        <v>144830</v>
      </c>
      <c r="L10" s="236">
        <f t="shared" si="3"/>
        <v>0</v>
      </c>
      <c r="M10" s="236">
        <f t="shared" si="4"/>
        <v>144830</v>
      </c>
      <c r="N10" s="34"/>
      <c r="O10" s="34"/>
      <c r="P10" s="34"/>
      <c r="Q10" s="34"/>
      <c r="R10" s="34"/>
      <c r="S10" s="34"/>
    </row>
    <row r="11" spans="1:19" ht="14" hidden="1" customHeight="1">
      <c r="A11" s="234" t="s">
        <v>29</v>
      </c>
      <c r="B11" s="236">
        <f>7865.42</f>
        <v>7865.42</v>
      </c>
      <c r="C11" s="236">
        <f>9243</f>
        <v>9243</v>
      </c>
      <c r="D11" s="236">
        <f t="shared" si="0"/>
        <v>-1377.58</v>
      </c>
      <c r="E11" s="236">
        <f>37776.96</f>
        <v>37776.959999999999</v>
      </c>
      <c r="F11" s="236">
        <f>9243</f>
        <v>9243</v>
      </c>
      <c r="G11" s="236">
        <f t="shared" si="1"/>
        <v>28533.96</v>
      </c>
      <c r="H11" s="236">
        <f>1336.25</f>
        <v>1336.25</v>
      </c>
      <c r="I11" s="236">
        <f>3081</f>
        <v>3081</v>
      </c>
      <c r="J11" s="236">
        <f t="shared" si="2"/>
        <v>-1744.75</v>
      </c>
      <c r="K11" s="236">
        <f t="shared" si="3"/>
        <v>46978.63</v>
      </c>
      <c r="L11" s="236">
        <f t="shared" si="3"/>
        <v>21567</v>
      </c>
      <c r="M11" s="236">
        <f t="shared" si="4"/>
        <v>25411.629999999997</v>
      </c>
      <c r="N11" s="34"/>
      <c r="O11" s="34"/>
      <c r="P11" s="34"/>
      <c r="Q11" s="34"/>
      <c r="R11" s="34"/>
      <c r="S11" s="34"/>
    </row>
    <row r="12" spans="1:19" ht="14" hidden="1" customHeight="1">
      <c r="A12" s="234" t="s">
        <v>30</v>
      </c>
      <c r="B12" s="236">
        <f>11880</f>
        <v>11880</v>
      </c>
      <c r="C12" s="236">
        <f>14310</f>
        <v>14310</v>
      </c>
      <c r="D12" s="236">
        <f t="shared" si="0"/>
        <v>-2430</v>
      </c>
      <c r="E12" s="236">
        <f>39750.92</f>
        <v>39750.92</v>
      </c>
      <c r="F12" s="236">
        <f>14310</f>
        <v>14310</v>
      </c>
      <c r="G12" s="236">
        <f t="shared" si="1"/>
        <v>25440.92</v>
      </c>
      <c r="H12" s="235"/>
      <c r="I12" s="236">
        <f>4770</f>
        <v>4770</v>
      </c>
      <c r="J12" s="236">
        <f t="shared" si="2"/>
        <v>-4770</v>
      </c>
      <c r="K12" s="236">
        <f t="shared" si="3"/>
        <v>51630.92</v>
      </c>
      <c r="L12" s="236">
        <f t="shared" si="3"/>
        <v>33390</v>
      </c>
      <c r="M12" s="236">
        <f t="shared" si="4"/>
        <v>18240.919999999998</v>
      </c>
      <c r="N12" s="34"/>
      <c r="O12" s="34"/>
      <c r="P12" s="34"/>
      <c r="Q12" s="34"/>
      <c r="R12" s="34"/>
      <c r="S12" s="34"/>
    </row>
    <row r="13" spans="1:19" ht="14" hidden="1" customHeight="1">
      <c r="A13" s="234" t="s">
        <v>31</v>
      </c>
      <c r="B13" s="235"/>
      <c r="C13" s="236">
        <f>3315</f>
        <v>3315</v>
      </c>
      <c r="D13" s="236">
        <f t="shared" si="0"/>
        <v>-3315</v>
      </c>
      <c r="E13" s="235"/>
      <c r="F13" s="236">
        <f>3315</f>
        <v>3315</v>
      </c>
      <c r="G13" s="236">
        <f t="shared" si="1"/>
        <v>-3315</v>
      </c>
      <c r="H13" s="235"/>
      <c r="I13" s="236">
        <f>1105</f>
        <v>1105</v>
      </c>
      <c r="J13" s="236">
        <f t="shared" si="2"/>
        <v>-1105</v>
      </c>
      <c r="K13" s="236">
        <f t="shared" si="3"/>
        <v>0</v>
      </c>
      <c r="L13" s="236">
        <f t="shared" si="3"/>
        <v>7735</v>
      </c>
      <c r="M13" s="236">
        <f t="shared" si="4"/>
        <v>-7735</v>
      </c>
      <c r="N13" s="34"/>
      <c r="O13" s="34"/>
      <c r="P13" s="34"/>
      <c r="Q13" s="34"/>
      <c r="R13" s="34"/>
      <c r="S13" s="34"/>
    </row>
    <row r="14" spans="1:19" ht="14">
      <c r="A14" s="234" t="s">
        <v>32</v>
      </c>
      <c r="B14" s="237">
        <f>((B11)+(B12))+(B13)</f>
        <v>19745.419999999998</v>
      </c>
      <c r="C14" s="237">
        <f>((C11)+(C12))+(C13)</f>
        <v>26868</v>
      </c>
      <c r="D14" s="237">
        <f t="shared" si="0"/>
        <v>-7122.5800000000017</v>
      </c>
      <c r="E14" s="237">
        <f>((E11)+(E12))+(E13)</f>
        <v>77527.88</v>
      </c>
      <c r="F14" s="237">
        <f>((F11)+(F12))+(F13)</f>
        <v>26868</v>
      </c>
      <c r="G14" s="237">
        <f t="shared" si="1"/>
        <v>50659.880000000005</v>
      </c>
      <c r="H14" s="237">
        <f>((H11)+(H12))+(H13)</f>
        <v>1336.25</v>
      </c>
      <c r="I14" s="237">
        <f>((I11)+(I12))+(I13)</f>
        <v>8956</v>
      </c>
      <c r="J14" s="237">
        <f t="shared" si="2"/>
        <v>-7619.75</v>
      </c>
      <c r="K14" s="237">
        <f t="shared" si="3"/>
        <v>98609.55</v>
      </c>
      <c r="L14" s="237">
        <f t="shared" si="3"/>
        <v>62692</v>
      </c>
      <c r="M14" s="237">
        <f t="shared" si="4"/>
        <v>35917.550000000003</v>
      </c>
      <c r="N14" s="34"/>
      <c r="O14" s="34"/>
      <c r="P14" s="34"/>
      <c r="Q14" s="34"/>
      <c r="R14" s="34"/>
      <c r="S14" s="34"/>
    </row>
    <row r="15" spans="1:19" ht="14">
      <c r="A15" s="234" t="s">
        <v>33</v>
      </c>
      <c r="B15" s="237">
        <f>(((B8)+(B9))+(B10))+(B14)</f>
        <v>90800.79</v>
      </c>
      <c r="C15" s="237">
        <f>(((C8)+(C9))+(C10))+(C14)</f>
        <v>162915</v>
      </c>
      <c r="D15" s="237">
        <f t="shared" si="0"/>
        <v>-72114.210000000006</v>
      </c>
      <c r="E15" s="237">
        <f>(((E8)+(E9))+(E10))+(E14)</f>
        <v>539707.16</v>
      </c>
      <c r="F15" s="237">
        <f>(((F8)+(F9))+(F10))+(F14)</f>
        <v>162915</v>
      </c>
      <c r="G15" s="237">
        <f t="shared" si="1"/>
        <v>376792.16000000003</v>
      </c>
      <c r="H15" s="237">
        <f>(((H8)+(H9))+(H10))+(H14)</f>
        <v>6836.25</v>
      </c>
      <c r="I15" s="237">
        <f>(((I8)+(I9))+(I10))+(I14)</f>
        <v>54305</v>
      </c>
      <c r="J15" s="237">
        <f t="shared" si="2"/>
        <v>-47468.75</v>
      </c>
      <c r="K15" s="237">
        <f t="shared" si="3"/>
        <v>637344.20000000007</v>
      </c>
      <c r="L15" s="237">
        <f t="shared" si="3"/>
        <v>380135</v>
      </c>
      <c r="M15" s="237">
        <f t="shared" si="4"/>
        <v>257209.20000000007</v>
      </c>
      <c r="N15" s="34"/>
      <c r="O15" s="34"/>
      <c r="P15" s="34"/>
      <c r="Q15" s="34"/>
      <c r="R15" s="34"/>
      <c r="S15" s="34"/>
    </row>
    <row r="16" spans="1:19" ht="14">
      <c r="A16" s="234" t="s">
        <v>34</v>
      </c>
      <c r="B16" s="237">
        <f>(B15)-(0)</f>
        <v>90800.79</v>
      </c>
      <c r="C16" s="237">
        <f>(C15)-(0)</f>
        <v>162915</v>
      </c>
      <c r="D16" s="237">
        <f t="shared" si="0"/>
        <v>-72114.210000000006</v>
      </c>
      <c r="E16" s="237">
        <f>(E15)-(0)</f>
        <v>539707.16</v>
      </c>
      <c r="F16" s="237">
        <f>(F15)-(0)</f>
        <v>162915</v>
      </c>
      <c r="G16" s="237">
        <f t="shared" si="1"/>
        <v>376792.16000000003</v>
      </c>
      <c r="H16" s="237">
        <f>(H15)-(0)</f>
        <v>6836.25</v>
      </c>
      <c r="I16" s="237">
        <f>(I15)-(0)</f>
        <v>54305</v>
      </c>
      <c r="J16" s="237">
        <f t="shared" si="2"/>
        <v>-47468.75</v>
      </c>
      <c r="K16" s="237">
        <f t="shared" si="3"/>
        <v>637344.20000000007</v>
      </c>
      <c r="L16" s="237">
        <f t="shared" si="3"/>
        <v>380135</v>
      </c>
      <c r="M16" s="237">
        <f t="shared" si="4"/>
        <v>257209.20000000007</v>
      </c>
      <c r="N16" s="34"/>
      <c r="O16" s="34"/>
      <c r="P16" s="34"/>
      <c r="Q16" s="34"/>
      <c r="R16" s="34"/>
      <c r="S16" s="34"/>
    </row>
    <row r="17" spans="1:19" ht="14">
      <c r="A17" s="234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34"/>
      <c r="O17" s="34"/>
      <c r="P17" s="34"/>
      <c r="Q17" s="34"/>
      <c r="R17" s="34"/>
      <c r="S17" s="34"/>
    </row>
    <row r="18" spans="1:19" ht="14">
      <c r="A18" s="234" t="s">
        <v>102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34"/>
      <c r="O18" s="34"/>
      <c r="P18" s="34"/>
      <c r="Q18" s="34"/>
      <c r="R18" s="34"/>
      <c r="S18" s="34"/>
    </row>
    <row r="19" spans="1:19" ht="14">
      <c r="A19" s="234" t="s">
        <v>35</v>
      </c>
      <c r="B19" s="235"/>
      <c r="C19" s="235"/>
      <c r="D19" s="236">
        <f t="shared" ref="D19:D83" si="5">(B19)-(C19)</f>
        <v>0</v>
      </c>
      <c r="E19" s="235"/>
      <c r="F19" s="235"/>
      <c r="G19" s="236">
        <f t="shared" ref="G19:G83" si="6">(E19)-(F19)</f>
        <v>0</v>
      </c>
      <c r="H19" s="235"/>
      <c r="I19" s="235"/>
      <c r="J19" s="236">
        <f t="shared" ref="J19:J83" si="7">(H19)-(I19)</f>
        <v>0</v>
      </c>
      <c r="K19" s="236">
        <f t="shared" ref="K19:L51" si="8">((B19)+(E19))+(H19)</f>
        <v>0</v>
      </c>
      <c r="L19" s="236">
        <f t="shared" si="8"/>
        <v>0</v>
      </c>
      <c r="M19" s="236">
        <f t="shared" ref="M19:M83" si="9">(K19)-(L19)</f>
        <v>0</v>
      </c>
      <c r="N19" s="34"/>
      <c r="O19" s="34"/>
      <c r="P19" s="34"/>
      <c r="Q19" s="34"/>
      <c r="R19" s="34"/>
      <c r="S19" s="34"/>
    </row>
    <row r="20" spans="1:19" ht="14" hidden="1">
      <c r="A20" s="234" t="s">
        <v>36</v>
      </c>
      <c r="B20" s="235"/>
      <c r="C20" s="235"/>
      <c r="D20" s="236">
        <f t="shared" si="5"/>
        <v>0</v>
      </c>
      <c r="E20" s="235"/>
      <c r="F20" s="235"/>
      <c r="G20" s="236">
        <f t="shared" si="6"/>
        <v>0</v>
      </c>
      <c r="H20" s="235"/>
      <c r="I20" s="235"/>
      <c r="J20" s="236">
        <f t="shared" si="7"/>
        <v>0</v>
      </c>
      <c r="K20" s="236">
        <f t="shared" si="8"/>
        <v>0</v>
      </c>
      <c r="L20" s="236">
        <f t="shared" si="8"/>
        <v>0</v>
      </c>
      <c r="M20" s="236">
        <f t="shared" si="9"/>
        <v>0</v>
      </c>
      <c r="N20" s="34"/>
      <c r="O20" s="34"/>
      <c r="P20" s="34"/>
      <c r="Q20" s="34"/>
      <c r="R20" s="34"/>
      <c r="S20" s="34"/>
    </row>
    <row r="21" spans="1:19" ht="14" hidden="1">
      <c r="A21" s="234" t="s">
        <v>37</v>
      </c>
      <c r="B21" s="236">
        <f>1756.25</f>
        <v>1756.25</v>
      </c>
      <c r="C21" s="236">
        <f>2874</f>
        <v>2874</v>
      </c>
      <c r="D21" s="236">
        <f t="shared" si="5"/>
        <v>-1117.75</v>
      </c>
      <c r="E21" s="236">
        <f>1785</f>
        <v>1785</v>
      </c>
      <c r="F21" s="236">
        <f>2874</f>
        <v>2874</v>
      </c>
      <c r="G21" s="236">
        <f t="shared" si="6"/>
        <v>-1089</v>
      </c>
      <c r="H21" s="236">
        <f>7828.75</f>
        <v>7828.75</v>
      </c>
      <c r="I21" s="236">
        <f>958</f>
        <v>958</v>
      </c>
      <c r="J21" s="236">
        <f t="shared" si="7"/>
        <v>6870.75</v>
      </c>
      <c r="K21" s="236">
        <f t="shared" si="8"/>
        <v>11370</v>
      </c>
      <c r="L21" s="236">
        <f t="shared" si="8"/>
        <v>6706</v>
      </c>
      <c r="M21" s="236">
        <f t="shared" si="9"/>
        <v>4664</v>
      </c>
      <c r="N21" s="34"/>
      <c r="O21" s="34"/>
      <c r="P21" s="34"/>
      <c r="Q21" s="34"/>
      <c r="R21" s="34"/>
      <c r="S21" s="34"/>
    </row>
    <row r="22" spans="1:19" ht="14" hidden="1">
      <c r="A22" s="234" t="s">
        <v>38</v>
      </c>
      <c r="B22" s="236">
        <f>317.43</f>
        <v>317.43</v>
      </c>
      <c r="C22" s="236">
        <f>99</f>
        <v>99</v>
      </c>
      <c r="D22" s="236">
        <f t="shared" si="5"/>
        <v>218.43</v>
      </c>
      <c r="E22" s="236">
        <f>550.8</f>
        <v>550.79999999999995</v>
      </c>
      <c r="F22" s="236">
        <f>99</f>
        <v>99</v>
      </c>
      <c r="G22" s="236">
        <f t="shared" si="6"/>
        <v>451.79999999999995</v>
      </c>
      <c r="H22" s="236">
        <f>95.95</f>
        <v>95.95</v>
      </c>
      <c r="I22" s="236">
        <f>33</f>
        <v>33</v>
      </c>
      <c r="J22" s="236">
        <f t="shared" si="7"/>
        <v>62.95</v>
      </c>
      <c r="K22" s="236">
        <f t="shared" si="8"/>
        <v>964.18000000000006</v>
      </c>
      <c r="L22" s="236">
        <f t="shared" si="8"/>
        <v>231</v>
      </c>
      <c r="M22" s="236">
        <f t="shared" si="9"/>
        <v>733.18000000000006</v>
      </c>
      <c r="N22" s="34"/>
      <c r="O22" s="34"/>
      <c r="P22" s="34"/>
      <c r="Q22" s="34"/>
      <c r="R22" s="34"/>
      <c r="S22" s="34"/>
    </row>
    <row r="23" spans="1:19" ht="14" hidden="1">
      <c r="A23" s="234" t="s">
        <v>292</v>
      </c>
      <c r="B23" s="235"/>
      <c r="C23" s="236">
        <f>1923</f>
        <v>1923</v>
      </c>
      <c r="D23" s="236">
        <f t="shared" si="5"/>
        <v>-1923</v>
      </c>
      <c r="E23" s="235"/>
      <c r="F23" s="236">
        <f>1923</f>
        <v>1923</v>
      </c>
      <c r="G23" s="236">
        <f t="shared" si="6"/>
        <v>-1923</v>
      </c>
      <c r="H23" s="235"/>
      <c r="I23" s="236">
        <f>641</f>
        <v>641</v>
      </c>
      <c r="J23" s="236">
        <f t="shared" si="7"/>
        <v>-641</v>
      </c>
      <c r="K23" s="236">
        <f t="shared" si="8"/>
        <v>0</v>
      </c>
      <c r="L23" s="236">
        <f t="shared" si="8"/>
        <v>4487</v>
      </c>
      <c r="M23" s="236">
        <f t="shared" si="9"/>
        <v>-4487</v>
      </c>
      <c r="N23" s="34"/>
      <c r="O23" s="34"/>
      <c r="P23" s="34"/>
      <c r="Q23" s="34"/>
      <c r="R23" s="34"/>
      <c r="S23" s="34"/>
    </row>
    <row r="24" spans="1:19" ht="14">
      <c r="A24" s="234" t="s">
        <v>39</v>
      </c>
      <c r="B24" s="237">
        <f>(((B20)+(B21))+(B22))+(B23)</f>
        <v>2073.6799999999998</v>
      </c>
      <c r="C24" s="237">
        <f>(((C20)+(C21))+(C22))+(C23)</f>
        <v>4896</v>
      </c>
      <c r="D24" s="237">
        <f t="shared" si="5"/>
        <v>-2822.32</v>
      </c>
      <c r="E24" s="237">
        <f>(((E20)+(E21))+(E22))+(E23)</f>
        <v>2335.8000000000002</v>
      </c>
      <c r="F24" s="237">
        <f>(((F20)+(F21))+(F22))+(F23)</f>
        <v>4896</v>
      </c>
      <c r="G24" s="237">
        <f t="shared" si="6"/>
        <v>-2560.1999999999998</v>
      </c>
      <c r="H24" s="237">
        <f>(((H20)+(H21))+(H22))+(H23)</f>
        <v>7924.7</v>
      </c>
      <c r="I24" s="237">
        <f>(((I20)+(I21))+(I22))+(I23)</f>
        <v>1632</v>
      </c>
      <c r="J24" s="237">
        <f t="shared" si="7"/>
        <v>6292.7</v>
      </c>
      <c r="K24" s="237">
        <f t="shared" si="8"/>
        <v>12334.18</v>
      </c>
      <c r="L24" s="237">
        <f t="shared" si="8"/>
        <v>11424</v>
      </c>
      <c r="M24" s="237">
        <f t="shared" si="9"/>
        <v>910.18000000000029</v>
      </c>
      <c r="N24" s="34"/>
      <c r="O24" s="34"/>
      <c r="P24" s="34"/>
      <c r="Q24" s="34"/>
      <c r="R24" s="34"/>
      <c r="S24" s="34"/>
    </row>
    <row r="25" spans="1:19" ht="14" hidden="1">
      <c r="A25" s="234" t="s">
        <v>40</v>
      </c>
      <c r="B25" s="235"/>
      <c r="C25" s="235"/>
      <c r="D25" s="236">
        <f t="shared" si="5"/>
        <v>0</v>
      </c>
      <c r="E25" s="235"/>
      <c r="F25" s="235"/>
      <c r="G25" s="236">
        <f t="shared" si="6"/>
        <v>0</v>
      </c>
      <c r="H25" s="235"/>
      <c r="I25" s="235"/>
      <c r="J25" s="236">
        <f t="shared" si="7"/>
        <v>0</v>
      </c>
      <c r="K25" s="236">
        <f t="shared" si="8"/>
        <v>0</v>
      </c>
      <c r="L25" s="236">
        <f t="shared" si="8"/>
        <v>0</v>
      </c>
      <c r="M25" s="236">
        <f t="shared" si="9"/>
        <v>0</v>
      </c>
      <c r="N25" s="34"/>
      <c r="O25" s="34"/>
      <c r="P25" s="34"/>
      <c r="Q25" s="34"/>
      <c r="R25" s="34"/>
      <c r="S25" s="34"/>
    </row>
    <row r="26" spans="1:19" ht="14" hidden="1">
      <c r="A26" s="234" t="s">
        <v>41</v>
      </c>
      <c r="B26" s="236">
        <f>-1118.31</f>
        <v>-1118.31</v>
      </c>
      <c r="C26" s="236">
        <f>126</f>
        <v>126</v>
      </c>
      <c r="D26" s="236">
        <f t="shared" si="5"/>
        <v>-1244.31</v>
      </c>
      <c r="E26" s="236">
        <f>181.12</f>
        <v>181.12</v>
      </c>
      <c r="F26" s="236">
        <f>126</f>
        <v>126</v>
      </c>
      <c r="G26" s="236">
        <f t="shared" si="6"/>
        <v>55.120000000000005</v>
      </c>
      <c r="H26" s="235"/>
      <c r="I26" s="236">
        <f>42</f>
        <v>42</v>
      </c>
      <c r="J26" s="236">
        <f t="shared" si="7"/>
        <v>-42</v>
      </c>
      <c r="K26" s="236">
        <f t="shared" si="8"/>
        <v>-937.18999999999994</v>
      </c>
      <c r="L26" s="236">
        <f t="shared" si="8"/>
        <v>294</v>
      </c>
      <c r="M26" s="236">
        <f t="shared" si="9"/>
        <v>-1231.19</v>
      </c>
      <c r="N26" s="34"/>
      <c r="O26" s="34"/>
      <c r="P26" s="34"/>
      <c r="Q26" s="34"/>
      <c r="R26" s="34"/>
      <c r="S26" s="34"/>
    </row>
    <row r="27" spans="1:19" ht="14" hidden="1">
      <c r="A27" s="234" t="s">
        <v>42</v>
      </c>
      <c r="B27" s="236">
        <f>979.11</f>
        <v>979.11</v>
      </c>
      <c r="C27" s="236">
        <f>2499.99</f>
        <v>2499.9899999999998</v>
      </c>
      <c r="D27" s="236">
        <f t="shared" si="5"/>
        <v>-1520.8799999999997</v>
      </c>
      <c r="E27" s="236">
        <f>2210.11</f>
        <v>2210.11</v>
      </c>
      <c r="F27" s="236">
        <f>2499.99</f>
        <v>2499.9899999999998</v>
      </c>
      <c r="G27" s="236">
        <f t="shared" si="6"/>
        <v>-289.87999999999965</v>
      </c>
      <c r="H27" s="236">
        <f>124.84</f>
        <v>124.84</v>
      </c>
      <c r="I27" s="236">
        <f>833.33</f>
        <v>833.33</v>
      </c>
      <c r="J27" s="236">
        <f t="shared" si="7"/>
        <v>-708.49</v>
      </c>
      <c r="K27" s="236">
        <f t="shared" si="8"/>
        <v>3314.0600000000004</v>
      </c>
      <c r="L27" s="236">
        <f t="shared" si="8"/>
        <v>5833.3099999999995</v>
      </c>
      <c r="M27" s="236">
        <f t="shared" si="9"/>
        <v>-2519.2499999999991</v>
      </c>
      <c r="N27" s="34"/>
      <c r="O27" s="34"/>
      <c r="P27" s="34"/>
      <c r="Q27" s="34"/>
      <c r="R27" s="34"/>
      <c r="S27" s="34"/>
    </row>
    <row r="28" spans="1:19" ht="14" hidden="1">
      <c r="A28" s="234" t="s">
        <v>293</v>
      </c>
      <c r="B28" s="235"/>
      <c r="C28" s="236">
        <f>249</f>
        <v>249</v>
      </c>
      <c r="D28" s="236">
        <f t="shared" si="5"/>
        <v>-249</v>
      </c>
      <c r="E28" s="236">
        <f>300</f>
        <v>300</v>
      </c>
      <c r="F28" s="236">
        <f>249</f>
        <v>249</v>
      </c>
      <c r="G28" s="236">
        <f t="shared" si="6"/>
        <v>51</v>
      </c>
      <c r="H28" s="235"/>
      <c r="I28" s="236">
        <f>83</f>
        <v>83</v>
      </c>
      <c r="J28" s="236">
        <f t="shared" si="7"/>
        <v>-83</v>
      </c>
      <c r="K28" s="236">
        <f t="shared" si="8"/>
        <v>300</v>
      </c>
      <c r="L28" s="236">
        <f t="shared" si="8"/>
        <v>581</v>
      </c>
      <c r="M28" s="236">
        <f t="shared" si="9"/>
        <v>-281</v>
      </c>
      <c r="N28" s="34"/>
      <c r="O28" s="34"/>
      <c r="P28" s="34"/>
      <c r="Q28" s="34"/>
      <c r="R28" s="34"/>
      <c r="S28" s="34"/>
    </row>
    <row r="29" spans="1:19" ht="14">
      <c r="A29" s="234" t="s">
        <v>43</v>
      </c>
      <c r="B29" s="237">
        <f>(((B25)+(B26))+(B27))+(B28)</f>
        <v>-139.19999999999993</v>
      </c>
      <c r="C29" s="237">
        <f>(((C25)+(C26))+(C27))+(C28)</f>
        <v>2874.99</v>
      </c>
      <c r="D29" s="237">
        <f t="shared" si="5"/>
        <v>-3014.1899999999996</v>
      </c>
      <c r="E29" s="237">
        <f>(((E25)+(E26))+(E27))+(E28)</f>
        <v>2691.23</v>
      </c>
      <c r="F29" s="237">
        <f>(((F25)+(F26))+(F27))+(F28)</f>
        <v>2874.99</v>
      </c>
      <c r="G29" s="237">
        <f t="shared" si="6"/>
        <v>-183.75999999999976</v>
      </c>
      <c r="H29" s="237">
        <f>(((H25)+(H26))+(H27))+(H28)</f>
        <v>124.84</v>
      </c>
      <c r="I29" s="237">
        <f>(((I25)+(I26))+(I27))+(I28)</f>
        <v>958.33</v>
      </c>
      <c r="J29" s="237">
        <f t="shared" si="7"/>
        <v>-833.49</v>
      </c>
      <c r="K29" s="237">
        <f t="shared" si="8"/>
        <v>2676.8700000000003</v>
      </c>
      <c r="L29" s="237">
        <f t="shared" si="8"/>
        <v>6708.3099999999995</v>
      </c>
      <c r="M29" s="237">
        <f t="shared" si="9"/>
        <v>-4031.4399999999991</v>
      </c>
      <c r="N29" s="34"/>
      <c r="O29" s="34"/>
      <c r="P29" s="34"/>
      <c r="Q29" s="34"/>
      <c r="R29" s="34"/>
      <c r="S29" s="34"/>
    </row>
    <row r="30" spans="1:19" ht="14" hidden="1">
      <c r="A30" s="234" t="s">
        <v>44</v>
      </c>
      <c r="B30" s="235"/>
      <c r="C30" s="235"/>
      <c r="D30" s="236">
        <f t="shared" si="5"/>
        <v>0</v>
      </c>
      <c r="E30" s="235"/>
      <c r="F30" s="235"/>
      <c r="G30" s="236">
        <f t="shared" si="6"/>
        <v>0</v>
      </c>
      <c r="H30" s="235"/>
      <c r="I30" s="235"/>
      <c r="J30" s="236">
        <f t="shared" si="7"/>
        <v>0</v>
      </c>
      <c r="K30" s="236">
        <f t="shared" si="8"/>
        <v>0</v>
      </c>
      <c r="L30" s="236">
        <f t="shared" si="8"/>
        <v>0</v>
      </c>
      <c r="M30" s="236">
        <f t="shared" si="9"/>
        <v>0</v>
      </c>
      <c r="N30" s="34"/>
      <c r="O30" s="34"/>
      <c r="P30" s="34"/>
      <c r="Q30" s="34"/>
      <c r="R30" s="34"/>
      <c r="S30" s="34"/>
    </row>
    <row r="31" spans="1:19" ht="14" hidden="1">
      <c r="A31" s="234" t="s">
        <v>45</v>
      </c>
      <c r="B31" s="236">
        <f>4900</f>
        <v>4900</v>
      </c>
      <c r="C31" s="236">
        <f>5001</f>
        <v>5001</v>
      </c>
      <c r="D31" s="236">
        <f t="shared" si="5"/>
        <v>-101</v>
      </c>
      <c r="E31" s="236">
        <f>2349.5</f>
        <v>2349.5</v>
      </c>
      <c r="F31" s="236">
        <f>5001</f>
        <v>5001</v>
      </c>
      <c r="G31" s="236">
        <f t="shared" si="6"/>
        <v>-2651.5</v>
      </c>
      <c r="H31" s="236">
        <f>2340</f>
        <v>2340</v>
      </c>
      <c r="I31" s="236">
        <f>1667</f>
        <v>1667</v>
      </c>
      <c r="J31" s="236">
        <f t="shared" si="7"/>
        <v>673</v>
      </c>
      <c r="K31" s="236">
        <f t="shared" si="8"/>
        <v>9589.5</v>
      </c>
      <c r="L31" s="236">
        <f t="shared" si="8"/>
        <v>11669</v>
      </c>
      <c r="M31" s="236">
        <f t="shared" si="9"/>
        <v>-2079.5</v>
      </c>
      <c r="N31" s="34"/>
      <c r="O31" s="34"/>
      <c r="P31" s="34"/>
      <c r="Q31" s="34"/>
      <c r="R31" s="34"/>
      <c r="S31" s="34"/>
    </row>
    <row r="32" spans="1:19" ht="14" hidden="1">
      <c r="A32" s="234" t="s">
        <v>46</v>
      </c>
      <c r="B32" s="236">
        <f>686.46</f>
        <v>686.46</v>
      </c>
      <c r="C32" s="236">
        <f>249</f>
        <v>249</v>
      </c>
      <c r="D32" s="236">
        <f t="shared" si="5"/>
        <v>437.46000000000004</v>
      </c>
      <c r="E32" s="236">
        <f>689.7</f>
        <v>689.7</v>
      </c>
      <c r="F32" s="236">
        <f>249</f>
        <v>249</v>
      </c>
      <c r="G32" s="236">
        <f t="shared" si="6"/>
        <v>440.70000000000005</v>
      </c>
      <c r="H32" s="236">
        <f>230.36</f>
        <v>230.36</v>
      </c>
      <c r="I32" s="236">
        <f>83</f>
        <v>83</v>
      </c>
      <c r="J32" s="236">
        <f t="shared" si="7"/>
        <v>147.36000000000001</v>
      </c>
      <c r="K32" s="236">
        <f t="shared" si="8"/>
        <v>1606.52</v>
      </c>
      <c r="L32" s="236">
        <f t="shared" si="8"/>
        <v>581</v>
      </c>
      <c r="M32" s="236">
        <f t="shared" si="9"/>
        <v>1025.52</v>
      </c>
      <c r="N32" s="34"/>
      <c r="O32" s="34"/>
      <c r="P32" s="34"/>
      <c r="Q32" s="34"/>
      <c r="R32" s="34"/>
      <c r="S32" s="34"/>
    </row>
    <row r="33" spans="1:19" ht="14">
      <c r="A33" s="234" t="s">
        <v>47</v>
      </c>
      <c r="B33" s="237">
        <f>((B30)+(B31))+(B32)</f>
        <v>5586.46</v>
      </c>
      <c r="C33" s="237">
        <f>((C30)+(C31))+(C32)</f>
        <v>5250</v>
      </c>
      <c r="D33" s="237">
        <f t="shared" si="5"/>
        <v>336.46000000000004</v>
      </c>
      <c r="E33" s="237">
        <f>((E30)+(E31))+(E32)</f>
        <v>3039.2</v>
      </c>
      <c r="F33" s="237">
        <f>((F30)+(F31))+(F32)</f>
        <v>5250</v>
      </c>
      <c r="G33" s="237">
        <f t="shared" si="6"/>
        <v>-2210.8000000000002</v>
      </c>
      <c r="H33" s="237">
        <f>((H30)+(H31))+(H32)</f>
        <v>2570.36</v>
      </c>
      <c r="I33" s="237">
        <f>((I30)+(I31))+(I32)</f>
        <v>1750</v>
      </c>
      <c r="J33" s="237">
        <f t="shared" si="7"/>
        <v>820.36000000000013</v>
      </c>
      <c r="K33" s="237">
        <f t="shared" si="8"/>
        <v>11196.02</v>
      </c>
      <c r="L33" s="237">
        <f t="shared" si="8"/>
        <v>12250</v>
      </c>
      <c r="M33" s="237">
        <f t="shared" si="9"/>
        <v>-1053.9799999999996</v>
      </c>
      <c r="N33" s="34"/>
      <c r="O33" s="34"/>
      <c r="P33" s="34"/>
      <c r="Q33" s="34"/>
      <c r="R33" s="34"/>
      <c r="S33" s="34"/>
    </row>
    <row r="34" spans="1:19" ht="14" hidden="1">
      <c r="A34" s="234" t="s">
        <v>48</v>
      </c>
      <c r="B34" s="235"/>
      <c r="C34" s="235"/>
      <c r="D34" s="236">
        <f t="shared" si="5"/>
        <v>0</v>
      </c>
      <c r="E34" s="235"/>
      <c r="F34" s="235"/>
      <c r="G34" s="236">
        <f t="shared" si="6"/>
        <v>0</v>
      </c>
      <c r="H34" s="235"/>
      <c r="I34" s="235"/>
      <c r="J34" s="236">
        <f t="shared" si="7"/>
        <v>0</v>
      </c>
      <c r="K34" s="236">
        <f t="shared" si="8"/>
        <v>0</v>
      </c>
      <c r="L34" s="236">
        <f t="shared" si="8"/>
        <v>0</v>
      </c>
      <c r="M34" s="236">
        <f t="shared" si="9"/>
        <v>0</v>
      </c>
      <c r="N34" s="34"/>
      <c r="O34" s="34"/>
      <c r="P34" s="34"/>
      <c r="Q34" s="34"/>
      <c r="R34" s="34"/>
      <c r="S34" s="34"/>
    </row>
    <row r="35" spans="1:19" ht="14" hidden="1">
      <c r="A35" s="234" t="s">
        <v>49</v>
      </c>
      <c r="B35" s="236">
        <f>148.36</f>
        <v>148.36000000000001</v>
      </c>
      <c r="C35" s="236">
        <f>426</f>
        <v>426</v>
      </c>
      <c r="D35" s="236">
        <f t="shared" si="5"/>
        <v>-277.64</v>
      </c>
      <c r="E35" s="236">
        <f>515.54</f>
        <v>515.54</v>
      </c>
      <c r="F35" s="236">
        <f>426</f>
        <v>426</v>
      </c>
      <c r="G35" s="236">
        <f t="shared" si="6"/>
        <v>89.539999999999964</v>
      </c>
      <c r="H35" s="236">
        <f>1411.75</f>
        <v>1411.75</v>
      </c>
      <c r="I35" s="236">
        <f>142</f>
        <v>142</v>
      </c>
      <c r="J35" s="236">
        <f t="shared" si="7"/>
        <v>1269.75</v>
      </c>
      <c r="K35" s="236">
        <f t="shared" si="8"/>
        <v>2075.65</v>
      </c>
      <c r="L35" s="236">
        <f t="shared" si="8"/>
        <v>994</v>
      </c>
      <c r="M35" s="236">
        <f t="shared" si="9"/>
        <v>1081.6500000000001</v>
      </c>
      <c r="N35" s="34"/>
      <c r="O35" s="34"/>
      <c r="P35" s="34"/>
      <c r="Q35" s="34"/>
      <c r="R35" s="34"/>
      <c r="S35" s="34"/>
    </row>
    <row r="36" spans="1:19" ht="14">
      <c r="A36" s="234" t="s">
        <v>50</v>
      </c>
      <c r="B36" s="237">
        <f>(B34)+(B35)</f>
        <v>148.36000000000001</v>
      </c>
      <c r="C36" s="237">
        <f>(C34)+(C35)</f>
        <v>426</v>
      </c>
      <c r="D36" s="237">
        <f t="shared" si="5"/>
        <v>-277.64</v>
      </c>
      <c r="E36" s="237">
        <f>(E34)+(E35)</f>
        <v>515.54</v>
      </c>
      <c r="F36" s="237">
        <f>(F34)+(F35)</f>
        <v>426</v>
      </c>
      <c r="G36" s="237">
        <f t="shared" si="6"/>
        <v>89.539999999999964</v>
      </c>
      <c r="H36" s="237">
        <f>(H34)+(H35)</f>
        <v>1411.75</v>
      </c>
      <c r="I36" s="237">
        <f>(I34)+(I35)</f>
        <v>142</v>
      </c>
      <c r="J36" s="237">
        <f t="shared" si="7"/>
        <v>1269.75</v>
      </c>
      <c r="K36" s="237">
        <f t="shared" si="8"/>
        <v>2075.65</v>
      </c>
      <c r="L36" s="237">
        <f t="shared" si="8"/>
        <v>994</v>
      </c>
      <c r="M36" s="237">
        <f t="shared" si="9"/>
        <v>1081.6500000000001</v>
      </c>
      <c r="N36" s="34"/>
      <c r="O36" s="34"/>
      <c r="P36" s="34"/>
      <c r="Q36" s="34"/>
      <c r="R36" s="34"/>
      <c r="S36" s="34"/>
    </row>
    <row r="37" spans="1:19" ht="14" hidden="1">
      <c r="A37" s="234" t="s">
        <v>51</v>
      </c>
      <c r="B37" s="235"/>
      <c r="C37" s="235"/>
      <c r="D37" s="236">
        <f t="shared" si="5"/>
        <v>0</v>
      </c>
      <c r="E37" s="235"/>
      <c r="F37" s="235"/>
      <c r="G37" s="236">
        <f t="shared" si="6"/>
        <v>0</v>
      </c>
      <c r="H37" s="235"/>
      <c r="I37" s="235"/>
      <c r="J37" s="236">
        <f t="shared" si="7"/>
        <v>0</v>
      </c>
      <c r="K37" s="236">
        <f t="shared" si="8"/>
        <v>0</v>
      </c>
      <c r="L37" s="236">
        <f t="shared" si="8"/>
        <v>0</v>
      </c>
      <c r="M37" s="236">
        <f t="shared" si="9"/>
        <v>0</v>
      </c>
      <c r="N37" s="34"/>
      <c r="O37" s="34"/>
      <c r="P37" s="34"/>
      <c r="Q37" s="34"/>
      <c r="R37" s="34"/>
      <c r="S37" s="34"/>
    </row>
    <row r="38" spans="1:19" ht="14" hidden="1">
      <c r="A38" s="234" t="s">
        <v>52</v>
      </c>
      <c r="B38" s="236">
        <f>185964.24</f>
        <v>185964.24</v>
      </c>
      <c r="C38" s="236">
        <f>184782</f>
        <v>184782</v>
      </c>
      <c r="D38" s="236">
        <f t="shared" si="5"/>
        <v>1182.2399999999907</v>
      </c>
      <c r="E38" s="236">
        <f>185964.24</f>
        <v>185964.24</v>
      </c>
      <c r="F38" s="236">
        <f>184782</f>
        <v>184782</v>
      </c>
      <c r="G38" s="236">
        <f t="shared" si="6"/>
        <v>1182.2399999999907</v>
      </c>
      <c r="H38" s="236">
        <f>59450.33</f>
        <v>59450.33</v>
      </c>
      <c r="I38" s="236">
        <f>61594</f>
        <v>61594</v>
      </c>
      <c r="J38" s="236">
        <f t="shared" si="7"/>
        <v>-2143.6699999999983</v>
      </c>
      <c r="K38" s="236">
        <f t="shared" si="8"/>
        <v>431378.81</v>
      </c>
      <c r="L38" s="236">
        <f t="shared" si="8"/>
        <v>431158</v>
      </c>
      <c r="M38" s="236">
        <f t="shared" si="9"/>
        <v>220.80999999999767</v>
      </c>
      <c r="N38" s="34"/>
      <c r="O38" s="34"/>
      <c r="P38" s="34"/>
      <c r="Q38" s="34"/>
      <c r="R38" s="34"/>
      <c r="S38" s="34"/>
    </row>
    <row r="39" spans="1:19" ht="14" hidden="1">
      <c r="A39" s="234" t="s">
        <v>53</v>
      </c>
      <c r="B39" s="236">
        <f>14226.34</f>
        <v>14226.34</v>
      </c>
      <c r="C39" s="236">
        <f>16395</f>
        <v>16395</v>
      </c>
      <c r="D39" s="236">
        <f t="shared" si="5"/>
        <v>-2168.66</v>
      </c>
      <c r="E39" s="236">
        <f>14226.33</f>
        <v>14226.33</v>
      </c>
      <c r="F39" s="236">
        <f>16395</f>
        <v>16395</v>
      </c>
      <c r="G39" s="236">
        <f t="shared" si="6"/>
        <v>-2168.67</v>
      </c>
      <c r="H39" s="236">
        <f>5130.43</f>
        <v>5130.43</v>
      </c>
      <c r="I39" s="236">
        <f>5465</f>
        <v>5465</v>
      </c>
      <c r="J39" s="236">
        <f t="shared" si="7"/>
        <v>-334.56999999999971</v>
      </c>
      <c r="K39" s="236">
        <f t="shared" si="8"/>
        <v>33583.1</v>
      </c>
      <c r="L39" s="236">
        <f t="shared" si="8"/>
        <v>38255</v>
      </c>
      <c r="M39" s="236">
        <f t="shared" si="9"/>
        <v>-4671.9000000000015</v>
      </c>
      <c r="N39" s="34"/>
      <c r="O39" s="34"/>
      <c r="P39" s="34"/>
      <c r="Q39" s="34"/>
      <c r="R39" s="34"/>
      <c r="S39" s="34"/>
    </row>
    <row r="40" spans="1:19" ht="14" hidden="1">
      <c r="A40" s="234" t="s">
        <v>54</v>
      </c>
      <c r="B40" s="236">
        <f>9579</f>
        <v>9579</v>
      </c>
      <c r="C40" s="236">
        <f>20712</f>
        <v>20712</v>
      </c>
      <c r="D40" s="236">
        <f t="shared" si="5"/>
        <v>-11133</v>
      </c>
      <c r="E40" s="236">
        <f>27278.07</f>
        <v>27278.07</v>
      </c>
      <c r="F40" s="236">
        <f>20712</f>
        <v>20712</v>
      </c>
      <c r="G40" s="236">
        <f t="shared" si="6"/>
        <v>6566.07</v>
      </c>
      <c r="H40" s="236">
        <f>1179.87</f>
        <v>1179.8699999999999</v>
      </c>
      <c r="I40" s="236">
        <f>6904</f>
        <v>6904</v>
      </c>
      <c r="J40" s="236">
        <f t="shared" si="7"/>
        <v>-5724.13</v>
      </c>
      <c r="K40" s="236">
        <f t="shared" si="8"/>
        <v>38036.94</v>
      </c>
      <c r="L40" s="236">
        <f t="shared" si="8"/>
        <v>48328</v>
      </c>
      <c r="M40" s="236">
        <f t="shared" si="9"/>
        <v>-10291.059999999998</v>
      </c>
      <c r="N40" s="34"/>
      <c r="O40" s="34"/>
      <c r="P40" s="34"/>
      <c r="Q40" s="34"/>
      <c r="R40" s="34"/>
      <c r="S40" s="34"/>
    </row>
    <row r="41" spans="1:19" ht="14" hidden="1">
      <c r="A41" s="234" t="s">
        <v>55</v>
      </c>
      <c r="B41" s="236">
        <f>247.93</f>
        <v>247.93</v>
      </c>
      <c r="C41" s="236">
        <f>375</f>
        <v>375</v>
      </c>
      <c r="D41" s="236">
        <f t="shared" si="5"/>
        <v>-127.07</v>
      </c>
      <c r="E41" s="236">
        <f>803.62</f>
        <v>803.62</v>
      </c>
      <c r="F41" s="236">
        <f>375</f>
        <v>375</v>
      </c>
      <c r="G41" s="236">
        <f t="shared" si="6"/>
        <v>428.62</v>
      </c>
      <c r="H41" s="236">
        <f>133.79</f>
        <v>133.79</v>
      </c>
      <c r="I41" s="236">
        <f>125</f>
        <v>125</v>
      </c>
      <c r="J41" s="236">
        <f t="shared" si="7"/>
        <v>8.789999999999992</v>
      </c>
      <c r="K41" s="236">
        <f t="shared" si="8"/>
        <v>1185.3399999999999</v>
      </c>
      <c r="L41" s="236">
        <f t="shared" si="8"/>
        <v>875</v>
      </c>
      <c r="M41" s="236">
        <f t="shared" si="9"/>
        <v>310.33999999999992</v>
      </c>
      <c r="N41" s="34"/>
      <c r="O41" s="34"/>
      <c r="P41" s="34"/>
      <c r="Q41" s="34"/>
      <c r="R41" s="34"/>
      <c r="S41" s="34"/>
    </row>
    <row r="42" spans="1:19" ht="14" hidden="1">
      <c r="A42" s="234" t="s">
        <v>56</v>
      </c>
      <c r="B42" s="236">
        <f>473.82</f>
        <v>473.82</v>
      </c>
      <c r="C42" s="236">
        <f>63</f>
        <v>63</v>
      </c>
      <c r="D42" s="236">
        <f t="shared" si="5"/>
        <v>410.82</v>
      </c>
      <c r="E42" s="235"/>
      <c r="F42" s="236">
        <f>63</f>
        <v>63</v>
      </c>
      <c r="G42" s="236">
        <f t="shared" si="6"/>
        <v>-63</v>
      </c>
      <c r="H42" s="235"/>
      <c r="I42" s="236">
        <f>21</f>
        <v>21</v>
      </c>
      <c r="J42" s="236">
        <f t="shared" si="7"/>
        <v>-21</v>
      </c>
      <c r="K42" s="236">
        <f t="shared" si="8"/>
        <v>473.82</v>
      </c>
      <c r="L42" s="236">
        <f t="shared" si="8"/>
        <v>147</v>
      </c>
      <c r="M42" s="236">
        <f t="shared" si="9"/>
        <v>326.82</v>
      </c>
      <c r="N42" s="34"/>
      <c r="O42" s="34"/>
      <c r="P42" s="34"/>
      <c r="Q42" s="34"/>
      <c r="R42" s="34"/>
      <c r="S42" s="34"/>
    </row>
    <row r="43" spans="1:19" ht="14">
      <c r="A43" s="234" t="s">
        <v>57</v>
      </c>
      <c r="B43" s="237">
        <f>(((((B37)+(B38))+(B39))+(B40))+(B41))+(B42)</f>
        <v>210491.33</v>
      </c>
      <c r="C43" s="237">
        <f>(((((C37)+(C38))+(C39))+(C40))+(C41))+(C42)</f>
        <v>222327</v>
      </c>
      <c r="D43" s="237">
        <f t="shared" si="5"/>
        <v>-11835.670000000013</v>
      </c>
      <c r="E43" s="237">
        <f>(((((E37)+(E38))+(E39))+(E40))+(E41))+(E42)</f>
        <v>228272.25999999998</v>
      </c>
      <c r="F43" s="237">
        <f>(((((F37)+(F38))+(F39))+(F40))+(F41))+(F42)</f>
        <v>222327</v>
      </c>
      <c r="G43" s="237">
        <f t="shared" si="6"/>
        <v>5945.2599999999802</v>
      </c>
      <c r="H43" s="237">
        <f>(((((H37)+(H38))+(H39))+(H40))+(H41))+(H42)</f>
        <v>65894.42</v>
      </c>
      <c r="I43" s="237">
        <f>(((((I37)+(I38))+(I39))+(I40))+(I41))+(I42)</f>
        <v>74109</v>
      </c>
      <c r="J43" s="237">
        <f t="shared" si="7"/>
        <v>-8214.5800000000017</v>
      </c>
      <c r="K43" s="237">
        <f t="shared" si="8"/>
        <v>504658.00999999995</v>
      </c>
      <c r="L43" s="237">
        <f t="shared" si="8"/>
        <v>518763</v>
      </c>
      <c r="M43" s="237">
        <f t="shared" si="9"/>
        <v>-14104.990000000049</v>
      </c>
      <c r="N43" s="34"/>
      <c r="O43" s="34"/>
      <c r="P43" s="34"/>
      <c r="Q43" s="34"/>
      <c r="R43" s="34"/>
      <c r="S43" s="34"/>
    </row>
    <row r="44" spans="1:19" ht="14">
      <c r="A44" s="234" t="s">
        <v>58</v>
      </c>
      <c r="B44" s="237">
        <f>(((((B19)+(B24))+(B29))+(B33))+(B36))+(B43)</f>
        <v>218160.62999999998</v>
      </c>
      <c r="C44" s="237">
        <f>(((((C19)+(C24))+(C29))+(C33))+(C36))+(C43)</f>
        <v>235773.99</v>
      </c>
      <c r="D44" s="237">
        <f t="shared" si="5"/>
        <v>-17613.360000000015</v>
      </c>
      <c r="E44" s="237">
        <f>(((((E19)+(E24))+(E29))+(E33))+(E36))+(E43)</f>
        <v>236854.02999999997</v>
      </c>
      <c r="F44" s="237">
        <f>(((((F19)+(F24))+(F29))+(F33))+(F36))+(F43)</f>
        <v>235773.99</v>
      </c>
      <c r="G44" s="237">
        <f t="shared" si="6"/>
        <v>1080.039999999979</v>
      </c>
      <c r="H44" s="237">
        <f>(((((H19)+(H24))+(H29))+(H33))+(H36))+(H43)</f>
        <v>77926.069999999992</v>
      </c>
      <c r="I44" s="237">
        <f>(((((I19)+(I24))+(I29))+(I33))+(I36))+(I43)</f>
        <v>78591.33</v>
      </c>
      <c r="J44" s="237">
        <f t="shared" si="7"/>
        <v>-665.26000000000931</v>
      </c>
      <c r="K44" s="237">
        <f t="shared" si="8"/>
        <v>532940.72999999986</v>
      </c>
      <c r="L44" s="237">
        <f t="shared" si="8"/>
        <v>550139.30999999994</v>
      </c>
      <c r="M44" s="237">
        <f t="shared" si="9"/>
        <v>-17198.580000000075</v>
      </c>
      <c r="N44" s="34"/>
      <c r="O44" s="34"/>
      <c r="P44" s="34"/>
      <c r="Q44" s="34"/>
      <c r="R44" s="34"/>
      <c r="S44" s="34"/>
    </row>
    <row r="45" spans="1:19" ht="14">
      <c r="A45" s="234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34"/>
      <c r="O45" s="34"/>
      <c r="P45" s="34"/>
      <c r="Q45" s="34"/>
      <c r="R45" s="34"/>
      <c r="S45" s="34"/>
    </row>
    <row r="46" spans="1:19" ht="14">
      <c r="A46" s="234" t="s">
        <v>59</v>
      </c>
      <c r="B46" s="235"/>
      <c r="C46" s="235"/>
      <c r="D46" s="236">
        <f t="shared" si="5"/>
        <v>0</v>
      </c>
      <c r="E46" s="235"/>
      <c r="F46" s="235"/>
      <c r="G46" s="236">
        <f t="shared" si="6"/>
        <v>0</v>
      </c>
      <c r="H46" s="235"/>
      <c r="I46" s="235"/>
      <c r="J46" s="236">
        <f t="shared" si="7"/>
        <v>0</v>
      </c>
      <c r="K46" s="236">
        <f t="shared" si="8"/>
        <v>0</v>
      </c>
      <c r="L46" s="236">
        <f t="shared" si="8"/>
        <v>0</v>
      </c>
      <c r="M46" s="236">
        <f t="shared" si="9"/>
        <v>0</v>
      </c>
      <c r="N46" s="34"/>
      <c r="O46" s="34"/>
      <c r="P46" s="34"/>
      <c r="Q46" s="34"/>
      <c r="R46" s="34"/>
      <c r="S46" s="34"/>
    </row>
    <row r="47" spans="1:19" ht="14" hidden="1">
      <c r="A47" s="234" t="s">
        <v>60</v>
      </c>
      <c r="B47" s="235"/>
      <c r="C47" s="235"/>
      <c r="D47" s="236">
        <f t="shared" si="5"/>
        <v>0</v>
      </c>
      <c r="E47" s="235"/>
      <c r="F47" s="235"/>
      <c r="G47" s="236">
        <f t="shared" si="6"/>
        <v>0</v>
      </c>
      <c r="H47" s="235"/>
      <c r="I47" s="235"/>
      <c r="J47" s="236">
        <f t="shared" si="7"/>
        <v>0</v>
      </c>
      <c r="K47" s="236">
        <f t="shared" si="8"/>
        <v>0</v>
      </c>
      <c r="L47" s="236">
        <f t="shared" si="8"/>
        <v>0</v>
      </c>
      <c r="M47" s="236">
        <f t="shared" si="9"/>
        <v>0</v>
      </c>
      <c r="N47" s="34"/>
      <c r="O47" s="34"/>
      <c r="P47" s="34"/>
      <c r="Q47" s="34"/>
      <c r="R47" s="34"/>
      <c r="S47" s="34"/>
    </row>
    <row r="48" spans="1:19" ht="14" hidden="1">
      <c r="A48" s="234" t="s">
        <v>61</v>
      </c>
      <c r="B48" s="235"/>
      <c r="C48" s="236">
        <f>375</f>
        <v>375</v>
      </c>
      <c r="D48" s="236">
        <f t="shared" si="5"/>
        <v>-375</v>
      </c>
      <c r="E48" s="235"/>
      <c r="F48" s="236">
        <f>375</f>
        <v>375</v>
      </c>
      <c r="G48" s="236">
        <f t="shared" si="6"/>
        <v>-375</v>
      </c>
      <c r="H48" s="235"/>
      <c r="I48" s="236">
        <f>125</f>
        <v>125</v>
      </c>
      <c r="J48" s="236">
        <f t="shared" si="7"/>
        <v>-125</v>
      </c>
      <c r="K48" s="236">
        <f t="shared" si="8"/>
        <v>0</v>
      </c>
      <c r="L48" s="236">
        <f t="shared" si="8"/>
        <v>875</v>
      </c>
      <c r="M48" s="236">
        <f t="shared" si="9"/>
        <v>-875</v>
      </c>
      <c r="N48" s="34"/>
      <c r="O48" s="34"/>
      <c r="P48" s="34"/>
      <c r="Q48" s="34"/>
      <c r="R48" s="34"/>
      <c r="S48" s="34"/>
    </row>
    <row r="49" spans="1:19" ht="14" hidden="1">
      <c r="A49" s="234" t="s">
        <v>62</v>
      </c>
      <c r="B49" s="236">
        <f>401.51</f>
        <v>401.51</v>
      </c>
      <c r="C49" s="236">
        <f>375</f>
        <v>375</v>
      </c>
      <c r="D49" s="236">
        <f t="shared" si="5"/>
        <v>26.509999999999991</v>
      </c>
      <c r="E49" s="236">
        <f>1680.12</f>
        <v>1680.12</v>
      </c>
      <c r="F49" s="236">
        <f>375</f>
        <v>375</v>
      </c>
      <c r="G49" s="236">
        <f t="shared" si="6"/>
        <v>1305.1199999999999</v>
      </c>
      <c r="H49" s="235"/>
      <c r="I49" s="236">
        <f>125</f>
        <v>125</v>
      </c>
      <c r="J49" s="236">
        <f t="shared" si="7"/>
        <v>-125</v>
      </c>
      <c r="K49" s="236">
        <f t="shared" si="8"/>
        <v>2081.63</v>
      </c>
      <c r="L49" s="236">
        <f t="shared" si="8"/>
        <v>875</v>
      </c>
      <c r="M49" s="236">
        <f t="shared" si="9"/>
        <v>1206.6300000000001</v>
      </c>
      <c r="N49" s="34"/>
      <c r="O49" s="34"/>
      <c r="P49" s="34"/>
      <c r="Q49" s="34"/>
      <c r="R49" s="34"/>
      <c r="S49" s="34"/>
    </row>
    <row r="50" spans="1:19" ht="14">
      <c r="A50" s="234" t="s">
        <v>63</v>
      </c>
      <c r="B50" s="237">
        <f>((B47)+(B48))+(B49)</f>
        <v>401.51</v>
      </c>
      <c r="C50" s="237">
        <f>((C47)+(C48))+(C49)</f>
        <v>750</v>
      </c>
      <c r="D50" s="237">
        <f t="shared" si="5"/>
        <v>-348.49</v>
      </c>
      <c r="E50" s="237">
        <f>((E47)+(E48))+(E49)</f>
        <v>1680.12</v>
      </c>
      <c r="F50" s="237">
        <f>((F47)+(F48))+(F49)</f>
        <v>750</v>
      </c>
      <c r="G50" s="237">
        <f t="shared" si="6"/>
        <v>930.11999999999989</v>
      </c>
      <c r="H50" s="237">
        <f>((H47)+(H48))+(H49)</f>
        <v>0</v>
      </c>
      <c r="I50" s="237">
        <f>((I47)+(I48))+(I49)</f>
        <v>250</v>
      </c>
      <c r="J50" s="237">
        <f t="shared" si="7"/>
        <v>-250</v>
      </c>
      <c r="K50" s="237">
        <f t="shared" si="8"/>
        <v>2081.63</v>
      </c>
      <c r="L50" s="237">
        <f t="shared" si="8"/>
        <v>1750</v>
      </c>
      <c r="M50" s="237">
        <f t="shared" si="9"/>
        <v>331.63000000000011</v>
      </c>
      <c r="N50" s="34"/>
      <c r="O50" s="34"/>
      <c r="P50" s="34"/>
      <c r="Q50" s="34"/>
      <c r="R50" s="34"/>
      <c r="S50" s="34"/>
    </row>
    <row r="51" spans="1:19" ht="14" hidden="1">
      <c r="A51" s="234" t="s">
        <v>294</v>
      </c>
      <c r="B51" s="235"/>
      <c r="C51" s="235"/>
      <c r="D51" s="236">
        <f t="shared" si="5"/>
        <v>0</v>
      </c>
      <c r="E51" s="235"/>
      <c r="F51" s="235"/>
      <c r="G51" s="236">
        <f t="shared" si="6"/>
        <v>0</v>
      </c>
      <c r="H51" s="235"/>
      <c r="I51" s="235"/>
      <c r="J51" s="236">
        <f t="shared" si="7"/>
        <v>0</v>
      </c>
      <c r="K51" s="236">
        <f t="shared" si="8"/>
        <v>0</v>
      </c>
      <c r="L51" s="236">
        <f t="shared" si="8"/>
        <v>0</v>
      </c>
      <c r="M51" s="236">
        <f t="shared" si="9"/>
        <v>0</v>
      </c>
      <c r="N51" s="34"/>
      <c r="O51" s="34"/>
      <c r="P51" s="34"/>
      <c r="Q51" s="34"/>
      <c r="R51" s="34"/>
      <c r="S51" s="34"/>
    </row>
    <row r="52" spans="1:19" ht="14" hidden="1">
      <c r="A52" s="234" t="s">
        <v>295</v>
      </c>
      <c r="B52" s="236">
        <f>3292.93</f>
        <v>3292.93</v>
      </c>
      <c r="C52" s="236">
        <f>2751</f>
        <v>2751</v>
      </c>
      <c r="D52" s="236">
        <f t="shared" si="5"/>
        <v>541.92999999999984</v>
      </c>
      <c r="E52" s="236">
        <f>1280.84</f>
        <v>1280.8399999999999</v>
      </c>
      <c r="F52" s="236">
        <f>2751</f>
        <v>2751</v>
      </c>
      <c r="G52" s="236">
        <f t="shared" si="6"/>
        <v>-1470.16</v>
      </c>
      <c r="H52" s="236">
        <f>78.48</f>
        <v>78.48</v>
      </c>
      <c r="I52" s="236">
        <f>917</f>
        <v>917</v>
      </c>
      <c r="J52" s="236">
        <f t="shared" si="7"/>
        <v>-838.52</v>
      </c>
      <c r="K52" s="236">
        <f t="shared" ref="K52:L83" si="10">((B52)+(E52))+(H52)</f>
        <v>4652.2499999999991</v>
      </c>
      <c r="L52" s="236">
        <f t="shared" si="10"/>
        <v>6419</v>
      </c>
      <c r="M52" s="236">
        <f t="shared" si="9"/>
        <v>-1766.7500000000009</v>
      </c>
      <c r="N52" s="34"/>
      <c r="O52" s="34"/>
      <c r="P52" s="34"/>
      <c r="Q52" s="34"/>
      <c r="R52" s="34"/>
      <c r="S52" s="34"/>
    </row>
    <row r="53" spans="1:19" ht="14" hidden="1">
      <c r="A53" s="234" t="s">
        <v>64</v>
      </c>
      <c r="B53" s="236">
        <f>340.32</f>
        <v>340.32</v>
      </c>
      <c r="C53" s="235"/>
      <c r="D53" s="236">
        <f t="shared" si="5"/>
        <v>340.32</v>
      </c>
      <c r="E53" s="236">
        <f>289.92</f>
        <v>289.92</v>
      </c>
      <c r="F53" s="235"/>
      <c r="G53" s="236">
        <f t="shared" si="6"/>
        <v>289.92</v>
      </c>
      <c r="H53" s="236">
        <f>130</f>
        <v>130</v>
      </c>
      <c r="I53" s="235"/>
      <c r="J53" s="236">
        <f t="shared" si="7"/>
        <v>130</v>
      </c>
      <c r="K53" s="236">
        <f t="shared" si="10"/>
        <v>760.24</v>
      </c>
      <c r="L53" s="236">
        <f t="shared" si="10"/>
        <v>0</v>
      </c>
      <c r="M53" s="236">
        <f t="shared" si="9"/>
        <v>760.24</v>
      </c>
      <c r="N53" s="34"/>
      <c r="O53" s="34"/>
      <c r="P53" s="34"/>
      <c r="Q53" s="34"/>
      <c r="R53" s="34"/>
      <c r="S53" s="34"/>
    </row>
    <row r="54" spans="1:19" ht="14" hidden="1">
      <c r="A54" s="234" t="s">
        <v>65</v>
      </c>
      <c r="B54" s="235"/>
      <c r="C54" s="236">
        <f>624</f>
        <v>624</v>
      </c>
      <c r="D54" s="236">
        <f t="shared" si="5"/>
        <v>-624</v>
      </c>
      <c r="E54" s="235"/>
      <c r="F54" s="236">
        <f>624</f>
        <v>624</v>
      </c>
      <c r="G54" s="236">
        <f t="shared" si="6"/>
        <v>-624</v>
      </c>
      <c r="H54" s="235"/>
      <c r="I54" s="236">
        <f>208</f>
        <v>208</v>
      </c>
      <c r="J54" s="236">
        <f t="shared" si="7"/>
        <v>-208</v>
      </c>
      <c r="K54" s="236">
        <f t="shared" si="10"/>
        <v>0</v>
      </c>
      <c r="L54" s="236">
        <f t="shared" si="10"/>
        <v>1456</v>
      </c>
      <c r="M54" s="236">
        <f t="shared" si="9"/>
        <v>-1456</v>
      </c>
      <c r="N54" s="34"/>
      <c r="O54" s="34"/>
      <c r="P54" s="34"/>
      <c r="Q54" s="34"/>
      <c r="R54" s="34"/>
      <c r="S54" s="34"/>
    </row>
    <row r="55" spans="1:19" ht="14" hidden="1">
      <c r="A55" s="234" t="s">
        <v>296</v>
      </c>
      <c r="B55" s="235"/>
      <c r="C55" s="236">
        <f>126</f>
        <v>126</v>
      </c>
      <c r="D55" s="236">
        <f t="shared" si="5"/>
        <v>-126</v>
      </c>
      <c r="E55" s="235"/>
      <c r="F55" s="236">
        <f>126</f>
        <v>126</v>
      </c>
      <c r="G55" s="236">
        <f t="shared" si="6"/>
        <v>-126</v>
      </c>
      <c r="H55" s="235"/>
      <c r="I55" s="236">
        <f>42</f>
        <v>42</v>
      </c>
      <c r="J55" s="236">
        <f t="shared" si="7"/>
        <v>-42</v>
      </c>
      <c r="K55" s="236">
        <f t="shared" si="10"/>
        <v>0</v>
      </c>
      <c r="L55" s="236">
        <f t="shared" si="10"/>
        <v>294</v>
      </c>
      <c r="M55" s="236">
        <f t="shared" si="9"/>
        <v>-294</v>
      </c>
      <c r="N55" s="34"/>
      <c r="O55" s="34"/>
      <c r="P55" s="34"/>
      <c r="Q55" s="34"/>
      <c r="R55" s="34"/>
      <c r="S55" s="34"/>
    </row>
    <row r="56" spans="1:19" ht="14" hidden="1">
      <c r="A56" s="234" t="s">
        <v>297</v>
      </c>
      <c r="B56" s="235"/>
      <c r="C56" s="236">
        <f>249</f>
        <v>249</v>
      </c>
      <c r="D56" s="236">
        <f t="shared" si="5"/>
        <v>-249</v>
      </c>
      <c r="E56" s="235"/>
      <c r="F56" s="236">
        <f>249</f>
        <v>249</v>
      </c>
      <c r="G56" s="236">
        <f t="shared" si="6"/>
        <v>-249</v>
      </c>
      <c r="H56" s="235"/>
      <c r="I56" s="236">
        <f>83</f>
        <v>83</v>
      </c>
      <c r="J56" s="236">
        <f t="shared" si="7"/>
        <v>-83</v>
      </c>
      <c r="K56" s="236">
        <f t="shared" si="10"/>
        <v>0</v>
      </c>
      <c r="L56" s="236">
        <f t="shared" si="10"/>
        <v>581</v>
      </c>
      <c r="M56" s="236">
        <f t="shared" si="9"/>
        <v>-581</v>
      </c>
      <c r="N56" s="34"/>
      <c r="O56" s="34"/>
      <c r="P56" s="34"/>
      <c r="Q56" s="34"/>
      <c r="R56" s="34"/>
      <c r="S56" s="34"/>
    </row>
    <row r="57" spans="1:19" ht="14" hidden="1">
      <c r="A57" s="234" t="s">
        <v>298</v>
      </c>
      <c r="B57" s="235"/>
      <c r="C57" s="236">
        <f>63</f>
        <v>63</v>
      </c>
      <c r="D57" s="236">
        <f t="shared" si="5"/>
        <v>-63</v>
      </c>
      <c r="E57" s="235"/>
      <c r="F57" s="236">
        <f>63</f>
        <v>63</v>
      </c>
      <c r="G57" s="236">
        <f t="shared" si="6"/>
        <v>-63</v>
      </c>
      <c r="H57" s="235"/>
      <c r="I57" s="236">
        <f>21</f>
        <v>21</v>
      </c>
      <c r="J57" s="236">
        <f t="shared" si="7"/>
        <v>-21</v>
      </c>
      <c r="K57" s="236">
        <f t="shared" si="10"/>
        <v>0</v>
      </c>
      <c r="L57" s="236">
        <f t="shared" si="10"/>
        <v>147</v>
      </c>
      <c r="M57" s="236">
        <f t="shared" si="9"/>
        <v>-147</v>
      </c>
      <c r="N57" s="34"/>
      <c r="O57" s="34"/>
      <c r="P57" s="34"/>
      <c r="Q57" s="34"/>
      <c r="R57" s="34"/>
      <c r="S57" s="34"/>
    </row>
    <row r="58" spans="1:19" ht="14" hidden="1">
      <c r="A58" s="234" t="s">
        <v>299</v>
      </c>
      <c r="B58" s="235"/>
      <c r="C58" s="236">
        <f>876</f>
        <v>876</v>
      </c>
      <c r="D58" s="236">
        <f t="shared" si="5"/>
        <v>-876</v>
      </c>
      <c r="E58" s="235"/>
      <c r="F58" s="236">
        <f>876</f>
        <v>876</v>
      </c>
      <c r="G58" s="236">
        <f t="shared" si="6"/>
        <v>-876</v>
      </c>
      <c r="H58" s="235"/>
      <c r="I58" s="236">
        <f>292</f>
        <v>292</v>
      </c>
      <c r="J58" s="236">
        <f t="shared" si="7"/>
        <v>-292</v>
      </c>
      <c r="K58" s="236">
        <f t="shared" si="10"/>
        <v>0</v>
      </c>
      <c r="L58" s="236">
        <f t="shared" si="10"/>
        <v>2044</v>
      </c>
      <c r="M58" s="236">
        <f t="shared" si="9"/>
        <v>-2044</v>
      </c>
      <c r="N58" s="34"/>
      <c r="O58" s="34"/>
      <c r="P58" s="34"/>
      <c r="Q58" s="34"/>
      <c r="R58" s="34"/>
      <c r="S58" s="34"/>
    </row>
    <row r="59" spans="1:19" ht="14" hidden="1">
      <c r="A59" s="234" t="s">
        <v>300</v>
      </c>
      <c r="B59" s="235"/>
      <c r="C59" s="236">
        <f>126</f>
        <v>126</v>
      </c>
      <c r="D59" s="236">
        <f t="shared" si="5"/>
        <v>-126</v>
      </c>
      <c r="E59" s="235"/>
      <c r="F59" s="236">
        <f>126</f>
        <v>126</v>
      </c>
      <c r="G59" s="236">
        <f t="shared" si="6"/>
        <v>-126</v>
      </c>
      <c r="H59" s="235"/>
      <c r="I59" s="236">
        <f>42</f>
        <v>42</v>
      </c>
      <c r="J59" s="236">
        <f t="shared" si="7"/>
        <v>-42</v>
      </c>
      <c r="K59" s="236">
        <f t="shared" si="10"/>
        <v>0</v>
      </c>
      <c r="L59" s="236">
        <f t="shared" si="10"/>
        <v>294</v>
      </c>
      <c r="M59" s="236">
        <f t="shared" si="9"/>
        <v>-294</v>
      </c>
      <c r="N59" s="34"/>
      <c r="O59" s="34"/>
      <c r="P59" s="34"/>
      <c r="Q59" s="34"/>
      <c r="R59" s="34"/>
      <c r="S59" s="34"/>
    </row>
    <row r="60" spans="1:19" ht="14">
      <c r="A60" s="234" t="s">
        <v>301</v>
      </c>
      <c r="B60" s="237">
        <f>((((((((B51)+(B52))+(B53))+(B54))+(B55))+(B56))+(B57))+(B58))+(B59)</f>
        <v>3633.25</v>
      </c>
      <c r="C60" s="237">
        <f>((((((((C51)+(C52))+(C53))+(C54))+(C55))+(C56))+(C57))+(C58))+(C59)</f>
        <v>4815</v>
      </c>
      <c r="D60" s="237">
        <f t="shared" si="5"/>
        <v>-1181.75</v>
      </c>
      <c r="E60" s="237">
        <f>((((((((E51)+(E52))+(E53))+(E54))+(E55))+(E56))+(E57))+(E58))+(E59)</f>
        <v>1570.76</v>
      </c>
      <c r="F60" s="237">
        <f>((((((((F51)+(F52))+(F53))+(F54))+(F55))+(F56))+(F57))+(F58))+(F59)</f>
        <v>4815</v>
      </c>
      <c r="G60" s="237">
        <f t="shared" si="6"/>
        <v>-3244.24</v>
      </c>
      <c r="H60" s="237">
        <f>((((((((H51)+(H52))+(H53))+(H54))+(H55))+(H56))+(H57))+(H58))+(H59)</f>
        <v>208.48000000000002</v>
      </c>
      <c r="I60" s="237">
        <f>((((((((I51)+(I52))+(I53))+(I54))+(I55))+(I56))+(I57))+(I58))+(I59)</f>
        <v>1605</v>
      </c>
      <c r="J60" s="237">
        <f t="shared" si="7"/>
        <v>-1396.52</v>
      </c>
      <c r="K60" s="237">
        <f t="shared" si="10"/>
        <v>5412.49</v>
      </c>
      <c r="L60" s="237">
        <f t="shared" si="10"/>
        <v>11235</v>
      </c>
      <c r="M60" s="237">
        <f t="shared" si="9"/>
        <v>-5822.51</v>
      </c>
      <c r="N60" s="34"/>
      <c r="O60" s="34"/>
      <c r="P60" s="34"/>
      <c r="Q60" s="34"/>
      <c r="R60" s="34"/>
      <c r="S60" s="34"/>
    </row>
    <row r="61" spans="1:19" ht="14" hidden="1">
      <c r="A61" s="234" t="s">
        <v>66</v>
      </c>
      <c r="B61" s="235"/>
      <c r="C61" s="235"/>
      <c r="D61" s="236">
        <f t="shared" si="5"/>
        <v>0</v>
      </c>
      <c r="E61" s="235"/>
      <c r="F61" s="235"/>
      <c r="G61" s="236">
        <f t="shared" si="6"/>
        <v>0</v>
      </c>
      <c r="H61" s="235"/>
      <c r="I61" s="235"/>
      <c r="J61" s="236">
        <f t="shared" si="7"/>
        <v>0</v>
      </c>
      <c r="K61" s="236">
        <f t="shared" si="10"/>
        <v>0</v>
      </c>
      <c r="L61" s="236">
        <f t="shared" si="10"/>
        <v>0</v>
      </c>
      <c r="M61" s="236">
        <f t="shared" si="9"/>
        <v>0</v>
      </c>
      <c r="N61" s="34"/>
      <c r="O61" s="34"/>
      <c r="P61" s="34"/>
      <c r="Q61" s="34"/>
      <c r="R61" s="34"/>
      <c r="S61" s="34"/>
    </row>
    <row r="62" spans="1:19" ht="14" hidden="1">
      <c r="A62" s="234" t="s">
        <v>67</v>
      </c>
      <c r="B62" s="235"/>
      <c r="C62" s="236">
        <f>249</f>
        <v>249</v>
      </c>
      <c r="D62" s="236">
        <f t="shared" si="5"/>
        <v>-249</v>
      </c>
      <c r="E62" s="236">
        <f>26.49</f>
        <v>26.49</v>
      </c>
      <c r="F62" s="236">
        <f>249</f>
        <v>249</v>
      </c>
      <c r="G62" s="236">
        <f t="shared" si="6"/>
        <v>-222.51</v>
      </c>
      <c r="H62" s="235"/>
      <c r="I62" s="236">
        <f>83</f>
        <v>83</v>
      </c>
      <c r="J62" s="236">
        <f t="shared" si="7"/>
        <v>-83</v>
      </c>
      <c r="K62" s="236">
        <f t="shared" si="10"/>
        <v>26.49</v>
      </c>
      <c r="L62" s="236">
        <f t="shared" si="10"/>
        <v>581</v>
      </c>
      <c r="M62" s="236">
        <f t="shared" si="9"/>
        <v>-554.51</v>
      </c>
      <c r="N62" s="34"/>
      <c r="O62" s="34"/>
      <c r="P62" s="34"/>
      <c r="Q62" s="34"/>
      <c r="R62" s="34"/>
      <c r="S62" s="34"/>
    </row>
    <row r="63" spans="1:19" ht="14" hidden="1">
      <c r="A63" s="234" t="s">
        <v>68</v>
      </c>
      <c r="B63" s="236">
        <f>53473.38</f>
        <v>53473.38</v>
      </c>
      <c r="C63" s="236">
        <f>11250</f>
        <v>11250</v>
      </c>
      <c r="D63" s="236">
        <f t="shared" si="5"/>
        <v>42223.38</v>
      </c>
      <c r="E63" s="236">
        <f>2000</f>
        <v>2000</v>
      </c>
      <c r="F63" s="236">
        <f>11250</f>
        <v>11250</v>
      </c>
      <c r="G63" s="236">
        <f t="shared" si="6"/>
        <v>-9250</v>
      </c>
      <c r="H63" s="235"/>
      <c r="I63" s="236">
        <f>3750</f>
        <v>3750</v>
      </c>
      <c r="J63" s="236">
        <f t="shared" si="7"/>
        <v>-3750</v>
      </c>
      <c r="K63" s="236">
        <f t="shared" si="10"/>
        <v>55473.38</v>
      </c>
      <c r="L63" s="236">
        <f t="shared" si="10"/>
        <v>26250</v>
      </c>
      <c r="M63" s="236">
        <f t="shared" si="9"/>
        <v>29223.379999999997</v>
      </c>
      <c r="N63" s="34"/>
      <c r="O63" s="34"/>
      <c r="P63" s="34"/>
      <c r="Q63" s="34"/>
      <c r="R63" s="34"/>
      <c r="S63" s="34"/>
    </row>
    <row r="64" spans="1:19" ht="14" hidden="1">
      <c r="A64" s="234" t="s">
        <v>69</v>
      </c>
      <c r="B64" s="236">
        <f>1644.43</f>
        <v>1644.43</v>
      </c>
      <c r="C64" s="236">
        <f>1500</f>
        <v>1500</v>
      </c>
      <c r="D64" s="236">
        <f t="shared" si="5"/>
        <v>144.43000000000006</v>
      </c>
      <c r="E64" s="236">
        <f>250</f>
        <v>250</v>
      </c>
      <c r="F64" s="236">
        <f>1500</f>
        <v>1500</v>
      </c>
      <c r="G64" s="236">
        <f t="shared" si="6"/>
        <v>-1250</v>
      </c>
      <c r="H64" s="236">
        <f>205</f>
        <v>205</v>
      </c>
      <c r="I64" s="236">
        <f>500</f>
        <v>500</v>
      </c>
      <c r="J64" s="236">
        <f t="shared" si="7"/>
        <v>-295</v>
      </c>
      <c r="K64" s="236">
        <f t="shared" si="10"/>
        <v>2099.4300000000003</v>
      </c>
      <c r="L64" s="236">
        <f t="shared" si="10"/>
        <v>3500</v>
      </c>
      <c r="M64" s="236">
        <f t="shared" si="9"/>
        <v>-1400.5699999999997</v>
      </c>
      <c r="N64" s="34"/>
      <c r="O64" s="34"/>
      <c r="P64" s="34"/>
      <c r="Q64" s="34"/>
      <c r="R64" s="34"/>
      <c r="S64" s="34"/>
    </row>
    <row r="65" spans="1:19" ht="14" hidden="1">
      <c r="A65" s="234" t="s">
        <v>70</v>
      </c>
      <c r="B65" s="236">
        <f>6</f>
        <v>6</v>
      </c>
      <c r="C65" s="236">
        <f>624</f>
        <v>624</v>
      </c>
      <c r="D65" s="236">
        <f t="shared" si="5"/>
        <v>-618</v>
      </c>
      <c r="E65" s="236">
        <f>709.2</f>
        <v>709.2</v>
      </c>
      <c r="F65" s="236">
        <f>624</f>
        <v>624</v>
      </c>
      <c r="G65" s="236">
        <f t="shared" si="6"/>
        <v>85.200000000000045</v>
      </c>
      <c r="H65" s="236">
        <f>0</f>
        <v>0</v>
      </c>
      <c r="I65" s="236">
        <f>208</f>
        <v>208</v>
      </c>
      <c r="J65" s="236">
        <f t="shared" si="7"/>
        <v>-208</v>
      </c>
      <c r="K65" s="236">
        <f t="shared" si="10"/>
        <v>715.2</v>
      </c>
      <c r="L65" s="236">
        <f t="shared" si="10"/>
        <v>1456</v>
      </c>
      <c r="M65" s="236">
        <f t="shared" si="9"/>
        <v>-740.8</v>
      </c>
      <c r="N65" s="34"/>
      <c r="O65" s="34"/>
      <c r="P65" s="34"/>
      <c r="Q65" s="34"/>
      <c r="R65" s="34"/>
      <c r="S65" s="34"/>
    </row>
    <row r="66" spans="1:19" ht="14" hidden="1">
      <c r="A66" s="234" t="s">
        <v>302</v>
      </c>
      <c r="B66" s="235"/>
      <c r="C66" s="236">
        <f>3249</f>
        <v>3249</v>
      </c>
      <c r="D66" s="236">
        <f t="shared" si="5"/>
        <v>-3249</v>
      </c>
      <c r="E66" s="235"/>
      <c r="F66" s="236">
        <f>3249</f>
        <v>3249</v>
      </c>
      <c r="G66" s="236">
        <f t="shared" si="6"/>
        <v>-3249</v>
      </c>
      <c r="H66" s="235"/>
      <c r="I66" s="236">
        <f>1083</f>
        <v>1083</v>
      </c>
      <c r="J66" s="236">
        <f t="shared" si="7"/>
        <v>-1083</v>
      </c>
      <c r="K66" s="236">
        <f t="shared" si="10"/>
        <v>0</v>
      </c>
      <c r="L66" s="236">
        <f t="shared" si="10"/>
        <v>7581</v>
      </c>
      <c r="M66" s="236">
        <f t="shared" si="9"/>
        <v>-7581</v>
      </c>
      <c r="N66" s="34"/>
      <c r="O66" s="34"/>
      <c r="P66" s="34"/>
      <c r="Q66" s="34"/>
      <c r="R66" s="34"/>
      <c r="S66" s="34"/>
    </row>
    <row r="67" spans="1:19" ht="14">
      <c r="A67" s="234" t="s">
        <v>71</v>
      </c>
      <c r="B67" s="237">
        <f>(((((B61)+(B62))+(B63))+(B64))+(B65))+(B66)</f>
        <v>55123.81</v>
      </c>
      <c r="C67" s="237">
        <f>(((((C61)+(C62))+(C63))+(C64))+(C65))+(C66)</f>
        <v>16872</v>
      </c>
      <c r="D67" s="237">
        <f t="shared" si="5"/>
        <v>38251.81</v>
      </c>
      <c r="E67" s="237">
        <f>(((((E61)+(E62))+(E63))+(E64))+(E65))+(E66)</f>
        <v>2985.6899999999996</v>
      </c>
      <c r="F67" s="237">
        <f>(((((F61)+(F62))+(F63))+(F64))+(F65))+(F66)</f>
        <v>16872</v>
      </c>
      <c r="G67" s="237">
        <f t="shared" si="6"/>
        <v>-13886.310000000001</v>
      </c>
      <c r="H67" s="237">
        <f>(((((H61)+(H62))+(H63))+(H64))+(H65))+(H66)</f>
        <v>205</v>
      </c>
      <c r="I67" s="237">
        <f>(((((I61)+(I62))+(I63))+(I64))+(I65))+(I66)</f>
        <v>5624</v>
      </c>
      <c r="J67" s="237">
        <f t="shared" si="7"/>
        <v>-5419</v>
      </c>
      <c r="K67" s="237">
        <f t="shared" si="10"/>
        <v>58314.5</v>
      </c>
      <c r="L67" s="237">
        <f t="shared" si="10"/>
        <v>39368</v>
      </c>
      <c r="M67" s="237">
        <f t="shared" si="9"/>
        <v>18946.5</v>
      </c>
      <c r="N67" s="34"/>
      <c r="O67" s="34"/>
      <c r="P67" s="34"/>
      <c r="Q67" s="34"/>
      <c r="R67" s="34"/>
      <c r="S67" s="34"/>
    </row>
    <row r="68" spans="1:19" ht="14" hidden="1">
      <c r="A68" s="234" t="s">
        <v>72</v>
      </c>
      <c r="B68" s="235"/>
      <c r="C68" s="235"/>
      <c r="D68" s="236">
        <f t="shared" si="5"/>
        <v>0</v>
      </c>
      <c r="E68" s="235"/>
      <c r="F68" s="235"/>
      <c r="G68" s="236">
        <f t="shared" si="6"/>
        <v>0</v>
      </c>
      <c r="H68" s="235"/>
      <c r="I68" s="235"/>
      <c r="J68" s="236">
        <f t="shared" si="7"/>
        <v>0</v>
      </c>
      <c r="K68" s="236">
        <f t="shared" si="10"/>
        <v>0</v>
      </c>
      <c r="L68" s="236">
        <f t="shared" si="10"/>
        <v>0</v>
      </c>
      <c r="M68" s="236">
        <f t="shared" si="9"/>
        <v>0</v>
      </c>
      <c r="N68" s="34"/>
      <c r="O68" s="34"/>
      <c r="P68" s="34"/>
      <c r="Q68" s="34"/>
      <c r="R68" s="34"/>
      <c r="S68" s="34"/>
    </row>
    <row r="69" spans="1:19" ht="14" hidden="1">
      <c r="A69" s="234" t="s">
        <v>303</v>
      </c>
      <c r="B69" s="235"/>
      <c r="C69" s="235"/>
      <c r="D69" s="236">
        <f t="shared" si="5"/>
        <v>0</v>
      </c>
      <c r="E69" s="235"/>
      <c r="F69" s="235"/>
      <c r="G69" s="236">
        <f t="shared" si="6"/>
        <v>0</v>
      </c>
      <c r="H69" s="235"/>
      <c r="I69" s="235"/>
      <c r="J69" s="236">
        <f t="shared" si="7"/>
        <v>0</v>
      </c>
      <c r="K69" s="236">
        <f t="shared" si="10"/>
        <v>0</v>
      </c>
      <c r="L69" s="236">
        <f t="shared" si="10"/>
        <v>0</v>
      </c>
      <c r="M69" s="236">
        <f t="shared" si="9"/>
        <v>0</v>
      </c>
      <c r="N69" s="34"/>
      <c r="O69" s="34"/>
      <c r="P69" s="34"/>
      <c r="Q69" s="34"/>
      <c r="R69" s="34"/>
      <c r="S69" s="34"/>
    </row>
    <row r="70" spans="1:19" ht="14" hidden="1">
      <c r="A70" s="234" t="s">
        <v>73</v>
      </c>
      <c r="B70" s="235"/>
      <c r="C70" s="236">
        <f>174</f>
        <v>174</v>
      </c>
      <c r="D70" s="236">
        <f t="shared" si="5"/>
        <v>-174</v>
      </c>
      <c r="E70" s="235"/>
      <c r="F70" s="236">
        <f>174</f>
        <v>174</v>
      </c>
      <c r="G70" s="236">
        <f t="shared" si="6"/>
        <v>-174</v>
      </c>
      <c r="H70" s="235"/>
      <c r="I70" s="236">
        <f>58</f>
        <v>58</v>
      </c>
      <c r="J70" s="236">
        <f t="shared" si="7"/>
        <v>-58</v>
      </c>
      <c r="K70" s="236">
        <f t="shared" si="10"/>
        <v>0</v>
      </c>
      <c r="L70" s="236">
        <f t="shared" si="10"/>
        <v>406</v>
      </c>
      <c r="M70" s="236">
        <f t="shared" si="9"/>
        <v>-406</v>
      </c>
      <c r="N70" s="34"/>
      <c r="O70" s="34"/>
      <c r="P70" s="34"/>
      <c r="Q70" s="34"/>
      <c r="R70" s="34"/>
      <c r="S70" s="34"/>
    </row>
    <row r="71" spans="1:19" ht="14" hidden="1">
      <c r="A71" s="234" t="s">
        <v>74</v>
      </c>
      <c r="B71" s="236">
        <f>447.49</f>
        <v>447.49</v>
      </c>
      <c r="C71" s="236">
        <f>126</f>
        <v>126</v>
      </c>
      <c r="D71" s="236">
        <f t="shared" si="5"/>
        <v>321.49</v>
      </c>
      <c r="E71" s="236">
        <f>350.97</f>
        <v>350.97</v>
      </c>
      <c r="F71" s="236">
        <f>126</f>
        <v>126</v>
      </c>
      <c r="G71" s="236">
        <f t="shared" si="6"/>
        <v>224.97000000000003</v>
      </c>
      <c r="H71" s="236">
        <f>119.31</f>
        <v>119.31</v>
      </c>
      <c r="I71" s="236">
        <f>42</f>
        <v>42</v>
      </c>
      <c r="J71" s="236">
        <f t="shared" si="7"/>
        <v>77.31</v>
      </c>
      <c r="K71" s="236">
        <f t="shared" si="10"/>
        <v>917.77</v>
      </c>
      <c r="L71" s="236">
        <f t="shared" si="10"/>
        <v>294</v>
      </c>
      <c r="M71" s="236">
        <f t="shared" si="9"/>
        <v>623.77</v>
      </c>
      <c r="N71" s="34"/>
      <c r="O71" s="34"/>
      <c r="P71" s="34"/>
      <c r="Q71" s="34"/>
      <c r="R71" s="34"/>
      <c r="S71" s="34"/>
    </row>
    <row r="72" spans="1:19" ht="14" hidden="1">
      <c r="A72" s="234" t="s">
        <v>75</v>
      </c>
      <c r="B72" s="235"/>
      <c r="C72" s="236">
        <f>51</f>
        <v>51</v>
      </c>
      <c r="D72" s="236">
        <f t="shared" si="5"/>
        <v>-51</v>
      </c>
      <c r="E72" s="235"/>
      <c r="F72" s="236">
        <f>51</f>
        <v>51</v>
      </c>
      <c r="G72" s="236">
        <f t="shared" si="6"/>
        <v>-51</v>
      </c>
      <c r="H72" s="235"/>
      <c r="I72" s="236">
        <f>17</f>
        <v>17</v>
      </c>
      <c r="J72" s="236">
        <f t="shared" si="7"/>
        <v>-17</v>
      </c>
      <c r="K72" s="236">
        <f t="shared" si="10"/>
        <v>0</v>
      </c>
      <c r="L72" s="236">
        <f t="shared" si="10"/>
        <v>119</v>
      </c>
      <c r="M72" s="236">
        <f t="shared" si="9"/>
        <v>-119</v>
      </c>
      <c r="N72" s="34"/>
      <c r="O72" s="34"/>
      <c r="P72" s="34"/>
      <c r="Q72" s="34"/>
      <c r="R72" s="34"/>
      <c r="S72" s="34"/>
    </row>
    <row r="73" spans="1:19" ht="14" hidden="1">
      <c r="A73" s="234" t="s">
        <v>76</v>
      </c>
      <c r="B73" s="236">
        <f>589.44</f>
        <v>589.44000000000005</v>
      </c>
      <c r="C73" s="236">
        <f>126</f>
        <v>126</v>
      </c>
      <c r="D73" s="236">
        <f t="shared" si="5"/>
        <v>463.44000000000005</v>
      </c>
      <c r="E73" s="236">
        <f>43.1</f>
        <v>43.1</v>
      </c>
      <c r="F73" s="236">
        <f>126</f>
        <v>126</v>
      </c>
      <c r="G73" s="236">
        <f t="shared" si="6"/>
        <v>-82.9</v>
      </c>
      <c r="H73" s="235"/>
      <c r="I73" s="236">
        <f>42</f>
        <v>42</v>
      </c>
      <c r="J73" s="236">
        <f t="shared" si="7"/>
        <v>-42</v>
      </c>
      <c r="K73" s="236">
        <f t="shared" si="10"/>
        <v>632.54000000000008</v>
      </c>
      <c r="L73" s="236">
        <f t="shared" si="10"/>
        <v>294</v>
      </c>
      <c r="M73" s="236">
        <f t="shared" si="9"/>
        <v>338.54000000000008</v>
      </c>
      <c r="N73" s="34"/>
      <c r="O73" s="34"/>
      <c r="P73" s="34"/>
      <c r="Q73" s="34"/>
      <c r="R73" s="34"/>
      <c r="S73" s="34"/>
    </row>
    <row r="74" spans="1:19" ht="14" hidden="1">
      <c r="A74" s="234" t="s">
        <v>304</v>
      </c>
      <c r="B74" s="237">
        <f>((((B69)+(B70))+(B71))+(B72))+(B73)</f>
        <v>1036.93</v>
      </c>
      <c r="C74" s="237">
        <f>((((C69)+(C70))+(C71))+(C72))+(C73)</f>
        <v>477</v>
      </c>
      <c r="D74" s="237">
        <f t="shared" si="5"/>
        <v>559.93000000000006</v>
      </c>
      <c r="E74" s="237">
        <f>((((E69)+(E70))+(E71))+(E72))+(E73)</f>
        <v>394.07000000000005</v>
      </c>
      <c r="F74" s="237">
        <f>((((F69)+(F70))+(F71))+(F72))+(F73)</f>
        <v>477</v>
      </c>
      <c r="G74" s="237">
        <f t="shared" si="6"/>
        <v>-82.92999999999995</v>
      </c>
      <c r="H74" s="237">
        <f>((((H69)+(H70))+(H71))+(H72))+(H73)</f>
        <v>119.31</v>
      </c>
      <c r="I74" s="237">
        <f>((((I69)+(I70))+(I71))+(I72))+(I73)</f>
        <v>159</v>
      </c>
      <c r="J74" s="237">
        <f t="shared" si="7"/>
        <v>-39.69</v>
      </c>
      <c r="K74" s="237">
        <f t="shared" si="10"/>
        <v>1550.31</v>
      </c>
      <c r="L74" s="237">
        <f t="shared" si="10"/>
        <v>1113</v>
      </c>
      <c r="M74" s="237">
        <f t="shared" si="9"/>
        <v>437.30999999999995</v>
      </c>
      <c r="N74" s="34"/>
      <c r="O74" s="34"/>
      <c r="P74" s="34"/>
      <c r="Q74" s="34"/>
      <c r="R74" s="34"/>
      <c r="S74" s="34"/>
    </row>
    <row r="75" spans="1:19" ht="14" hidden="1">
      <c r="A75" s="234" t="s">
        <v>305</v>
      </c>
      <c r="B75" s="235"/>
      <c r="C75" s="235"/>
      <c r="D75" s="236">
        <f t="shared" si="5"/>
        <v>0</v>
      </c>
      <c r="E75" s="235"/>
      <c r="F75" s="235"/>
      <c r="G75" s="236">
        <f t="shared" si="6"/>
        <v>0</v>
      </c>
      <c r="H75" s="235"/>
      <c r="I75" s="235"/>
      <c r="J75" s="236">
        <f t="shared" si="7"/>
        <v>0</v>
      </c>
      <c r="K75" s="236">
        <f t="shared" si="10"/>
        <v>0</v>
      </c>
      <c r="L75" s="236">
        <f t="shared" si="10"/>
        <v>0</v>
      </c>
      <c r="M75" s="236">
        <f t="shared" si="9"/>
        <v>0</v>
      </c>
      <c r="N75" s="34"/>
      <c r="O75" s="34"/>
      <c r="P75" s="34"/>
      <c r="Q75" s="34"/>
      <c r="R75" s="34"/>
      <c r="S75" s="34"/>
    </row>
    <row r="76" spans="1:19" ht="14" hidden="1">
      <c r="A76" s="234" t="s">
        <v>77</v>
      </c>
      <c r="B76" s="235"/>
      <c r="C76" s="236">
        <f>312</f>
        <v>312</v>
      </c>
      <c r="D76" s="236">
        <f t="shared" si="5"/>
        <v>-312</v>
      </c>
      <c r="E76" s="235"/>
      <c r="F76" s="236">
        <f>312</f>
        <v>312</v>
      </c>
      <c r="G76" s="236">
        <f t="shared" si="6"/>
        <v>-312</v>
      </c>
      <c r="H76" s="235"/>
      <c r="I76" s="236">
        <f>104</f>
        <v>104</v>
      </c>
      <c r="J76" s="236">
        <f t="shared" si="7"/>
        <v>-104</v>
      </c>
      <c r="K76" s="236">
        <f t="shared" si="10"/>
        <v>0</v>
      </c>
      <c r="L76" s="236">
        <f t="shared" si="10"/>
        <v>728</v>
      </c>
      <c r="M76" s="236">
        <f t="shared" si="9"/>
        <v>-728</v>
      </c>
      <c r="N76" s="34"/>
      <c r="O76" s="34"/>
      <c r="P76" s="34"/>
      <c r="Q76" s="34"/>
      <c r="R76" s="34"/>
      <c r="S76" s="34"/>
    </row>
    <row r="77" spans="1:19" ht="14" hidden="1">
      <c r="A77" s="234" t="s">
        <v>78</v>
      </c>
      <c r="B77" s="235"/>
      <c r="C77" s="236">
        <f>51</f>
        <v>51</v>
      </c>
      <c r="D77" s="236">
        <f t="shared" si="5"/>
        <v>-51</v>
      </c>
      <c r="E77" s="236">
        <f>110.78</f>
        <v>110.78</v>
      </c>
      <c r="F77" s="236">
        <f>51</f>
        <v>51</v>
      </c>
      <c r="G77" s="236">
        <f t="shared" si="6"/>
        <v>59.78</v>
      </c>
      <c r="H77" s="235"/>
      <c r="I77" s="236">
        <f>17</f>
        <v>17</v>
      </c>
      <c r="J77" s="236">
        <f t="shared" si="7"/>
        <v>-17</v>
      </c>
      <c r="K77" s="236">
        <f t="shared" si="10"/>
        <v>110.78</v>
      </c>
      <c r="L77" s="236">
        <f t="shared" si="10"/>
        <v>119</v>
      </c>
      <c r="M77" s="236">
        <f t="shared" si="9"/>
        <v>-8.2199999999999989</v>
      </c>
      <c r="N77" s="34"/>
      <c r="O77" s="34"/>
      <c r="P77" s="34"/>
      <c r="Q77" s="34"/>
      <c r="R77" s="34"/>
      <c r="S77" s="34"/>
    </row>
    <row r="78" spans="1:19" ht="14" hidden="1">
      <c r="A78" s="234" t="s">
        <v>306</v>
      </c>
      <c r="B78" s="235"/>
      <c r="C78" s="236">
        <f>1251</f>
        <v>1251</v>
      </c>
      <c r="D78" s="236">
        <f t="shared" si="5"/>
        <v>-1251</v>
      </c>
      <c r="E78" s="236">
        <f>430.92</f>
        <v>430.92</v>
      </c>
      <c r="F78" s="236">
        <f>1251</f>
        <v>1251</v>
      </c>
      <c r="G78" s="236">
        <f t="shared" si="6"/>
        <v>-820.07999999999993</v>
      </c>
      <c r="H78" s="235"/>
      <c r="I78" s="236">
        <f>417</f>
        <v>417</v>
      </c>
      <c r="J78" s="236">
        <f t="shared" si="7"/>
        <v>-417</v>
      </c>
      <c r="K78" s="236">
        <f t="shared" si="10"/>
        <v>430.92</v>
      </c>
      <c r="L78" s="236">
        <f t="shared" si="10"/>
        <v>2919</v>
      </c>
      <c r="M78" s="236">
        <f t="shared" si="9"/>
        <v>-2488.08</v>
      </c>
      <c r="N78" s="34"/>
      <c r="O78" s="34"/>
      <c r="P78" s="34"/>
      <c r="Q78" s="34"/>
      <c r="R78" s="34"/>
      <c r="S78" s="34"/>
    </row>
    <row r="79" spans="1:19" ht="14" hidden="1">
      <c r="A79" s="234" t="s">
        <v>307</v>
      </c>
      <c r="B79" s="237">
        <f>(((B75)+(B76))+(B77))+(B78)</f>
        <v>0</v>
      </c>
      <c r="C79" s="237">
        <f>(((C75)+(C76))+(C77))+(C78)</f>
        <v>1614</v>
      </c>
      <c r="D79" s="237">
        <f t="shared" si="5"/>
        <v>-1614</v>
      </c>
      <c r="E79" s="237">
        <f>(((E75)+(E76))+(E77))+(E78)</f>
        <v>541.70000000000005</v>
      </c>
      <c r="F79" s="237">
        <f>(((F75)+(F76))+(F77))+(F78)</f>
        <v>1614</v>
      </c>
      <c r="G79" s="237">
        <f t="shared" si="6"/>
        <v>-1072.3</v>
      </c>
      <c r="H79" s="237">
        <f>(((H75)+(H76))+(H77))+(H78)</f>
        <v>0</v>
      </c>
      <c r="I79" s="237">
        <f>(((I75)+(I76))+(I77))+(I78)</f>
        <v>538</v>
      </c>
      <c r="J79" s="237">
        <f t="shared" si="7"/>
        <v>-538</v>
      </c>
      <c r="K79" s="237">
        <f t="shared" si="10"/>
        <v>541.70000000000005</v>
      </c>
      <c r="L79" s="237">
        <f t="shared" si="10"/>
        <v>3766</v>
      </c>
      <c r="M79" s="237">
        <f t="shared" si="9"/>
        <v>-3224.3</v>
      </c>
      <c r="N79" s="34"/>
      <c r="O79" s="34"/>
      <c r="P79" s="34"/>
      <c r="Q79" s="34"/>
      <c r="R79" s="34"/>
      <c r="S79" s="34"/>
    </row>
    <row r="80" spans="1:19" ht="14" hidden="1">
      <c r="A80" s="234" t="s">
        <v>79</v>
      </c>
      <c r="B80" s="235"/>
      <c r="C80" s="235"/>
      <c r="D80" s="236">
        <f t="shared" si="5"/>
        <v>0</v>
      </c>
      <c r="E80" s="235"/>
      <c r="F80" s="235"/>
      <c r="G80" s="236">
        <f t="shared" si="6"/>
        <v>0</v>
      </c>
      <c r="H80" s="235"/>
      <c r="I80" s="235"/>
      <c r="J80" s="236">
        <f t="shared" si="7"/>
        <v>0</v>
      </c>
      <c r="K80" s="236">
        <f t="shared" si="10"/>
        <v>0</v>
      </c>
      <c r="L80" s="236">
        <f t="shared" si="10"/>
        <v>0</v>
      </c>
      <c r="M80" s="236">
        <f t="shared" si="9"/>
        <v>0</v>
      </c>
      <c r="N80" s="34"/>
      <c r="O80" s="34"/>
      <c r="P80" s="34"/>
      <c r="Q80" s="34"/>
      <c r="R80" s="34"/>
      <c r="S80" s="34"/>
    </row>
    <row r="81" spans="1:19" ht="14" hidden="1">
      <c r="A81" s="234" t="s">
        <v>80</v>
      </c>
      <c r="B81" s="235"/>
      <c r="C81" s="236">
        <f>99</f>
        <v>99</v>
      </c>
      <c r="D81" s="236">
        <f t="shared" si="5"/>
        <v>-99</v>
      </c>
      <c r="E81" s="235"/>
      <c r="F81" s="236">
        <f>99</f>
        <v>99</v>
      </c>
      <c r="G81" s="236">
        <f t="shared" si="6"/>
        <v>-99</v>
      </c>
      <c r="H81" s="235"/>
      <c r="I81" s="236">
        <f>33</f>
        <v>33</v>
      </c>
      <c r="J81" s="236">
        <f t="shared" si="7"/>
        <v>-33</v>
      </c>
      <c r="K81" s="236">
        <f t="shared" si="10"/>
        <v>0</v>
      </c>
      <c r="L81" s="236">
        <f t="shared" si="10"/>
        <v>231</v>
      </c>
      <c r="M81" s="236">
        <f t="shared" si="9"/>
        <v>-231</v>
      </c>
      <c r="N81" s="34"/>
      <c r="O81" s="34"/>
      <c r="P81" s="34"/>
      <c r="Q81" s="34"/>
      <c r="R81" s="34"/>
      <c r="S81" s="34"/>
    </row>
    <row r="82" spans="1:19" ht="14" hidden="1">
      <c r="A82" s="234" t="s">
        <v>81</v>
      </c>
      <c r="B82" s="236">
        <f>155</f>
        <v>155</v>
      </c>
      <c r="C82" s="236">
        <f>63</f>
        <v>63</v>
      </c>
      <c r="D82" s="236">
        <f t="shared" si="5"/>
        <v>92</v>
      </c>
      <c r="E82" s="235"/>
      <c r="F82" s="236">
        <f>63</f>
        <v>63</v>
      </c>
      <c r="G82" s="236">
        <f t="shared" si="6"/>
        <v>-63</v>
      </c>
      <c r="H82" s="235"/>
      <c r="I82" s="236">
        <f>21</f>
        <v>21</v>
      </c>
      <c r="J82" s="236">
        <f t="shared" si="7"/>
        <v>-21</v>
      </c>
      <c r="K82" s="236">
        <f t="shared" si="10"/>
        <v>155</v>
      </c>
      <c r="L82" s="236">
        <f t="shared" si="10"/>
        <v>147</v>
      </c>
      <c r="M82" s="236">
        <f t="shared" si="9"/>
        <v>8</v>
      </c>
      <c r="N82" s="34"/>
      <c r="O82" s="34"/>
      <c r="P82" s="34"/>
      <c r="Q82" s="34"/>
      <c r="R82" s="34"/>
      <c r="S82" s="34"/>
    </row>
    <row r="83" spans="1:19" ht="14" hidden="1">
      <c r="A83" s="234" t="s">
        <v>82</v>
      </c>
      <c r="B83" s="235"/>
      <c r="C83" s="236">
        <f>51</f>
        <v>51</v>
      </c>
      <c r="D83" s="236">
        <f t="shared" si="5"/>
        <v>-51</v>
      </c>
      <c r="E83" s="235"/>
      <c r="F83" s="236">
        <f>51</f>
        <v>51</v>
      </c>
      <c r="G83" s="236">
        <f t="shared" si="6"/>
        <v>-51</v>
      </c>
      <c r="H83" s="235"/>
      <c r="I83" s="236">
        <f>17</f>
        <v>17</v>
      </c>
      <c r="J83" s="236">
        <f t="shared" si="7"/>
        <v>-17</v>
      </c>
      <c r="K83" s="236">
        <f t="shared" si="10"/>
        <v>0</v>
      </c>
      <c r="L83" s="236">
        <f t="shared" si="10"/>
        <v>119</v>
      </c>
      <c r="M83" s="236">
        <f t="shared" si="9"/>
        <v>-119</v>
      </c>
      <c r="N83" s="34"/>
      <c r="O83" s="34"/>
      <c r="P83" s="34"/>
      <c r="Q83" s="34"/>
      <c r="R83" s="34"/>
      <c r="S83" s="34"/>
    </row>
    <row r="84" spans="1:19" ht="14" hidden="1">
      <c r="A84" s="234" t="s">
        <v>83</v>
      </c>
      <c r="B84" s="237">
        <f>(((B80)+(B81))+(B82))+(B83)</f>
        <v>155</v>
      </c>
      <c r="C84" s="237">
        <f>(((C80)+(C81))+(C82))+(C83)</f>
        <v>213</v>
      </c>
      <c r="D84" s="237">
        <f t="shared" ref="D84:D105" si="11">(B84)-(C84)</f>
        <v>-58</v>
      </c>
      <c r="E84" s="237">
        <f>(((E80)+(E81))+(E82))+(E83)</f>
        <v>0</v>
      </c>
      <c r="F84" s="237">
        <f>(((F80)+(F81))+(F82))+(F83)</f>
        <v>213</v>
      </c>
      <c r="G84" s="237">
        <f t="shared" ref="G84:G105" si="12">(E84)-(F84)</f>
        <v>-213</v>
      </c>
      <c r="H84" s="237">
        <f>(((H80)+(H81))+(H82))+(H83)</f>
        <v>0</v>
      </c>
      <c r="I84" s="237">
        <f>(((I80)+(I81))+(I82))+(I83)</f>
        <v>71</v>
      </c>
      <c r="J84" s="237">
        <f t="shared" ref="J84:J105" si="13">(H84)-(I84)</f>
        <v>-71</v>
      </c>
      <c r="K84" s="237">
        <f t="shared" ref="K84:L105" si="14">((B84)+(E84))+(H84)</f>
        <v>155</v>
      </c>
      <c r="L84" s="237">
        <f t="shared" si="14"/>
        <v>497</v>
      </c>
      <c r="M84" s="237">
        <f t="shared" ref="M84:M105" si="15">(K84)-(L84)</f>
        <v>-342</v>
      </c>
      <c r="N84" s="34"/>
      <c r="O84" s="34"/>
      <c r="P84" s="34"/>
      <c r="Q84" s="34"/>
      <c r="R84" s="34"/>
      <c r="S84" s="34"/>
    </row>
    <row r="85" spans="1:19" ht="14" hidden="1">
      <c r="A85" s="234" t="s">
        <v>308</v>
      </c>
      <c r="B85" s="235"/>
      <c r="C85" s="235"/>
      <c r="D85" s="236">
        <f t="shared" si="11"/>
        <v>0</v>
      </c>
      <c r="E85" s="235"/>
      <c r="F85" s="235"/>
      <c r="G85" s="236">
        <f t="shared" si="12"/>
        <v>0</v>
      </c>
      <c r="H85" s="235"/>
      <c r="I85" s="235"/>
      <c r="J85" s="236">
        <f t="shared" si="13"/>
        <v>0</v>
      </c>
      <c r="K85" s="236">
        <f t="shared" si="14"/>
        <v>0</v>
      </c>
      <c r="L85" s="236">
        <f t="shared" si="14"/>
        <v>0</v>
      </c>
      <c r="M85" s="236">
        <f t="shared" si="15"/>
        <v>0</v>
      </c>
      <c r="N85" s="34"/>
      <c r="O85" s="34"/>
      <c r="P85" s="34"/>
      <c r="Q85" s="34"/>
      <c r="R85" s="34"/>
      <c r="S85" s="34"/>
    </row>
    <row r="86" spans="1:19" ht="14" hidden="1">
      <c r="A86" s="234" t="s">
        <v>84</v>
      </c>
      <c r="B86" s="235"/>
      <c r="C86" s="236">
        <f>99</f>
        <v>99</v>
      </c>
      <c r="D86" s="236">
        <f t="shared" si="11"/>
        <v>-99</v>
      </c>
      <c r="E86" s="235"/>
      <c r="F86" s="236">
        <f>99</f>
        <v>99</v>
      </c>
      <c r="G86" s="236">
        <f t="shared" si="12"/>
        <v>-99</v>
      </c>
      <c r="H86" s="235"/>
      <c r="I86" s="236">
        <f>33</f>
        <v>33</v>
      </c>
      <c r="J86" s="236">
        <f t="shared" si="13"/>
        <v>-33</v>
      </c>
      <c r="K86" s="236">
        <f t="shared" si="14"/>
        <v>0</v>
      </c>
      <c r="L86" s="236">
        <f t="shared" si="14"/>
        <v>231</v>
      </c>
      <c r="M86" s="236">
        <f t="shared" si="15"/>
        <v>-231</v>
      </c>
      <c r="N86" s="34"/>
      <c r="O86" s="34"/>
      <c r="P86" s="34"/>
      <c r="Q86" s="34"/>
      <c r="R86" s="34"/>
      <c r="S86" s="34"/>
    </row>
    <row r="87" spans="1:19" ht="14" hidden="1">
      <c r="A87" s="234" t="s">
        <v>309</v>
      </c>
      <c r="B87" s="235"/>
      <c r="C87" s="236">
        <f>63</f>
        <v>63</v>
      </c>
      <c r="D87" s="236">
        <f t="shared" si="11"/>
        <v>-63</v>
      </c>
      <c r="E87" s="235"/>
      <c r="F87" s="236">
        <f>63</f>
        <v>63</v>
      </c>
      <c r="G87" s="236">
        <f t="shared" si="12"/>
        <v>-63</v>
      </c>
      <c r="H87" s="235"/>
      <c r="I87" s="236">
        <f>21</f>
        <v>21</v>
      </c>
      <c r="J87" s="236">
        <f t="shared" si="13"/>
        <v>-21</v>
      </c>
      <c r="K87" s="236">
        <f t="shared" si="14"/>
        <v>0</v>
      </c>
      <c r="L87" s="236">
        <f t="shared" si="14"/>
        <v>147</v>
      </c>
      <c r="M87" s="236">
        <f t="shared" si="15"/>
        <v>-147</v>
      </c>
      <c r="N87" s="34"/>
      <c r="O87" s="34"/>
      <c r="P87" s="34"/>
      <c r="Q87" s="34"/>
      <c r="R87" s="34"/>
      <c r="S87" s="34"/>
    </row>
    <row r="88" spans="1:19" ht="14" hidden="1">
      <c r="A88" s="234" t="s">
        <v>85</v>
      </c>
      <c r="B88" s="235"/>
      <c r="C88" s="236">
        <f>51</f>
        <v>51</v>
      </c>
      <c r="D88" s="236">
        <f t="shared" si="11"/>
        <v>-51</v>
      </c>
      <c r="E88" s="235"/>
      <c r="F88" s="236">
        <f>51</f>
        <v>51</v>
      </c>
      <c r="G88" s="236">
        <f t="shared" si="12"/>
        <v>-51</v>
      </c>
      <c r="H88" s="235"/>
      <c r="I88" s="236">
        <f>17</f>
        <v>17</v>
      </c>
      <c r="J88" s="236">
        <f t="shared" si="13"/>
        <v>-17</v>
      </c>
      <c r="K88" s="236">
        <f t="shared" si="14"/>
        <v>0</v>
      </c>
      <c r="L88" s="236">
        <f t="shared" si="14"/>
        <v>119</v>
      </c>
      <c r="M88" s="236">
        <f t="shared" si="15"/>
        <v>-119</v>
      </c>
      <c r="N88" s="34"/>
      <c r="O88" s="34"/>
      <c r="P88" s="34"/>
      <c r="Q88" s="34"/>
      <c r="R88" s="34"/>
      <c r="S88" s="34"/>
    </row>
    <row r="89" spans="1:19" ht="14" hidden="1">
      <c r="A89" s="234" t="s">
        <v>310</v>
      </c>
      <c r="B89" s="237">
        <f>(((B85)+(B86))+(B87))+(B88)</f>
        <v>0</v>
      </c>
      <c r="C89" s="237">
        <f>(((C85)+(C86))+(C87))+(C88)</f>
        <v>213</v>
      </c>
      <c r="D89" s="237">
        <f t="shared" si="11"/>
        <v>-213</v>
      </c>
      <c r="E89" s="237">
        <f>(((E85)+(E86))+(E87))+(E88)</f>
        <v>0</v>
      </c>
      <c r="F89" s="237">
        <f>(((F85)+(F86))+(F87))+(F88)</f>
        <v>213</v>
      </c>
      <c r="G89" s="237">
        <f t="shared" si="12"/>
        <v>-213</v>
      </c>
      <c r="H89" s="237">
        <f>(((H85)+(H86))+(H87))+(H88)</f>
        <v>0</v>
      </c>
      <c r="I89" s="237">
        <f>(((I85)+(I86))+(I87))+(I88)</f>
        <v>71</v>
      </c>
      <c r="J89" s="237">
        <f t="shared" si="13"/>
        <v>-71</v>
      </c>
      <c r="K89" s="237">
        <f t="shared" si="14"/>
        <v>0</v>
      </c>
      <c r="L89" s="237">
        <f t="shared" si="14"/>
        <v>497</v>
      </c>
      <c r="M89" s="237">
        <f t="shared" si="15"/>
        <v>-497</v>
      </c>
      <c r="N89" s="34"/>
      <c r="O89" s="34"/>
      <c r="P89" s="34"/>
      <c r="Q89" s="34"/>
      <c r="R89" s="34"/>
      <c r="S89" s="34"/>
    </row>
    <row r="90" spans="1:19" ht="14" hidden="1">
      <c r="A90" s="234" t="s">
        <v>311</v>
      </c>
      <c r="B90" s="235"/>
      <c r="C90" s="235"/>
      <c r="D90" s="236">
        <f t="shared" si="11"/>
        <v>0</v>
      </c>
      <c r="E90" s="235"/>
      <c r="F90" s="235"/>
      <c r="G90" s="236">
        <f t="shared" si="12"/>
        <v>0</v>
      </c>
      <c r="H90" s="235"/>
      <c r="I90" s="235"/>
      <c r="J90" s="236">
        <f t="shared" si="13"/>
        <v>0</v>
      </c>
      <c r="K90" s="236">
        <f t="shared" si="14"/>
        <v>0</v>
      </c>
      <c r="L90" s="236">
        <f t="shared" si="14"/>
        <v>0</v>
      </c>
      <c r="M90" s="236">
        <f t="shared" si="15"/>
        <v>0</v>
      </c>
      <c r="N90" s="34"/>
      <c r="O90" s="34"/>
      <c r="P90" s="34"/>
      <c r="Q90" s="34"/>
      <c r="R90" s="34"/>
      <c r="S90" s="34"/>
    </row>
    <row r="91" spans="1:19" ht="14" hidden="1">
      <c r="A91" s="234" t="s">
        <v>86</v>
      </c>
      <c r="B91" s="235"/>
      <c r="C91" s="236">
        <f>312</f>
        <v>312</v>
      </c>
      <c r="D91" s="236">
        <f t="shared" si="11"/>
        <v>-312</v>
      </c>
      <c r="E91" s="236">
        <f>150</f>
        <v>150</v>
      </c>
      <c r="F91" s="236">
        <f>312</f>
        <v>312</v>
      </c>
      <c r="G91" s="236">
        <f t="shared" si="12"/>
        <v>-162</v>
      </c>
      <c r="H91" s="235"/>
      <c r="I91" s="236">
        <f>104</f>
        <v>104</v>
      </c>
      <c r="J91" s="236">
        <f t="shared" si="13"/>
        <v>-104</v>
      </c>
      <c r="K91" s="236">
        <f t="shared" si="14"/>
        <v>150</v>
      </c>
      <c r="L91" s="236">
        <f t="shared" si="14"/>
        <v>728</v>
      </c>
      <c r="M91" s="236">
        <f t="shared" si="15"/>
        <v>-578</v>
      </c>
      <c r="N91" s="34"/>
      <c r="O91" s="34"/>
      <c r="P91" s="34"/>
      <c r="Q91" s="34"/>
      <c r="R91" s="34"/>
      <c r="S91" s="34"/>
    </row>
    <row r="92" spans="1:19" ht="14" hidden="1">
      <c r="A92" s="234" t="s">
        <v>87</v>
      </c>
      <c r="B92" s="236">
        <f>3070.34</f>
        <v>3070.34</v>
      </c>
      <c r="C92" s="235"/>
      <c r="D92" s="236">
        <f t="shared" si="11"/>
        <v>3070.34</v>
      </c>
      <c r="E92" s="236">
        <f>2787.79</f>
        <v>2787.79</v>
      </c>
      <c r="F92" s="235"/>
      <c r="G92" s="236">
        <f t="shared" si="12"/>
        <v>2787.79</v>
      </c>
      <c r="H92" s="235"/>
      <c r="I92" s="235"/>
      <c r="J92" s="236">
        <f t="shared" si="13"/>
        <v>0</v>
      </c>
      <c r="K92" s="236">
        <f t="shared" si="14"/>
        <v>5858.13</v>
      </c>
      <c r="L92" s="236">
        <f t="shared" si="14"/>
        <v>0</v>
      </c>
      <c r="M92" s="236">
        <f t="shared" si="15"/>
        <v>5858.13</v>
      </c>
      <c r="N92" s="34"/>
      <c r="O92" s="34"/>
      <c r="P92" s="34"/>
      <c r="Q92" s="34"/>
      <c r="R92" s="34"/>
      <c r="S92" s="34"/>
    </row>
    <row r="93" spans="1:19" ht="14" hidden="1">
      <c r="A93" s="234" t="s">
        <v>88</v>
      </c>
      <c r="B93" s="235"/>
      <c r="C93" s="236">
        <f>51</f>
        <v>51</v>
      </c>
      <c r="D93" s="236">
        <f t="shared" si="11"/>
        <v>-51</v>
      </c>
      <c r="E93" s="236">
        <f>65.1</f>
        <v>65.099999999999994</v>
      </c>
      <c r="F93" s="236">
        <f>51</f>
        <v>51</v>
      </c>
      <c r="G93" s="236">
        <f t="shared" si="12"/>
        <v>14.099999999999994</v>
      </c>
      <c r="H93" s="235"/>
      <c r="I93" s="236">
        <f>17</f>
        <v>17</v>
      </c>
      <c r="J93" s="236">
        <f t="shared" si="13"/>
        <v>-17</v>
      </c>
      <c r="K93" s="236">
        <f t="shared" si="14"/>
        <v>65.099999999999994</v>
      </c>
      <c r="L93" s="236">
        <f t="shared" si="14"/>
        <v>119</v>
      </c>
      <c r="M93" s="236">
        <f t="shared" si="15"/>
        <v>-53.900000000000006</v>
      </c>
      <c r="N93" s="34"/>
      <c r="O93" s="34"/>
      <c r="P93" s="34"/>
      <c r="Q93" s="34"/>
      <c r="R93" s="34"/>
      <c r="S93" s="34"/>
    </row>
    <row r="94" spans="1:19" ht="14" hidden="1">
      <c r="A94" s="234" t="s">
        <v>312</v>
      </c>
      <c r="B94" s="235"/>
      <c r="C94" s="236">
        <f>249</f>
        <v>249</v>
      </c>
      <c r="D94" s="236">
        <f t="shared" si="11"/>
        <v>-249</v>
      </c>
      <c r="E94" s="235"/>
      <c r="F94" s="236">
        <f>249</f>
        <v>249</v>
      </c>
      <c r="G94" s="236">
        <f t="shared" si="12"/>
        <v>-249</v>
      </c>
      <c r="H94" s="235"/>
      <c r="I94" s="236">
        <f>83</f>
        <v>83</v>
      </c>
      <c r="J94" s="236">
        <f t="shared" si="13"/>
        <v>-83</v>
      </c>
      <c r="K94" s="236">
        <f t="shared" si="14"/>
        <v>0</v>
      </c>
      <c r="L94" s="236">
        <f t="shared" si="14"/>
        <v>581</v>
      </c>
      <c r="M94" s="236">
        <f t="shared" si="15"/>
        <v>-581</v>
      </c>
      <c r="N94" s="34"/>
      <c r="O94" s="34"/>
      <c r="P94" s="34"/>
      <c r="Q94" s="34"/>
      <c r="R94" s="34"/>
      <c r="S94" s="34"/>
    </row>
    <row r="95" spans="1:19" ht="14" hidden="1">
      <c r="A95" s="234" t="s">
        <v>313</v>
      </c>
      <c r="B95" s="237">
        <f>((((B90)+(B91))+(B92))+(B93))+(B94)</f>
        <v>3070.34</v>
      </c>
      <c r="C95" s="237">
        <f>((((C90)+(C91))+(C92))+(C93))+(C94)</f>
        <v>612</v>
      </c>
      <c r="D95" s="237">
        <f t="shared" si="11"/>
        <v>2458.34</v>
      </c>
      <c r="E95" s="237">
        <f>((((E90)+(E91))+(E92))+(E93))+(E94)</f>
        <v>3002.89</v>
      </c>
      <c r="F95" s="237">
        <f>((((F90)+(F91))+(F92))+(F93))+(F94)</f>
        <v>612</v>
      </c>
      <c r="G95" s="237">
        <f t="shared" si="12"/>
        <v>2390.89</v>
      </c>
      <c r="H95" s="237">
        <f>((((H90)+(H91))+(H92))+(H93))+(H94)</f>
        <v>0</v>
      </c>
      <c r="I95" s="237">
        <f>((((I90)+(I91))+(I92))+(I93))+(I94)</f>
        <v>204</v>
      </c>
      <c r="J95" s="237">
        <f t="shared" si="13"/>
        <v>-204</v>
      </c>
      <c r="K95" s="237">
        <f t="shared" si="14"/>
        <v>6073.23</v>
      </c>
      <c r="L95" s="237">
        <f t="shared" si="14"/>
        <v>1428</v>
      </c>
      <c r="M95" s="237">
        <f t="shared" si="15"/>
        <v>4645.2299999999996</v>
      </c>
      <c r="N95" s="34"/>
      <c r="O95" s="34"/>
      <c r="P95" s="34"/>
      <c r="Q95" s="34"/>
      <c r="R95" s="34"/>
      <c r="S95" s="34"/>
    </row>
    <row r="96" spans="1:19" ht="14">
      <c r="A96" s="234" t="s">
        <v>89</v>
      </c>
      <c r="B96" s="237">
        <f>(((((B68)+(B74))+(B79))+(B84))+(B89))+(B95)</f>
        <v>4262.2700000000004</v>
      </c>
      <c r="C96" s="237">
        <f>(((((C68)+(C74))+(C79))+(C84))+(C89))+(C95)</f>
        <v>3129</v>
      </c>
      <c r="D96" s="237">
        <f t="shared" si="11"/>
        <v>1133.2700000000004</v>
      </c>
      <c r="E96" s="237">
        <f>(((((E68)+(E74))+(E79))+(E84))+(E89))+(E95)</f>
        <v>3938.66</v>
      </c>
      <c r="F96" s="237">
        <f>(((((F68)+(F74))+(F79))+(F84))+(F89))+(F95)</f>
        <v>3129</v>
      </c>
      <c r="G96" s="237">
        <f t="shared" si="12"/>
        <v>809.65999999999985</v>
      </c>
      <c r="H96" s="237">
        <f>(((((H68)+(H74))+(H79))+(H84))+(H89))+(H95)</f>
        <v>119.31</v>
      </c>
      <c r="I96" s="237">
        <f>(((((I68)+(I74))+(I79))+(I84))+(I89))+(I95)</f>
        <v>1043</v>
      </c>
      <c r="J96" s="237">
        <f t="shared" si="13"/>
        <v>-923.69</v>
      </c>
      <c r="K96" s="237">
        <f t="shared" si="14"/>
        <v>8320.24</v>
      </c>
      <c r="L96" s="237">
        <f t="shared" si="14"/>
        <v>7301</v>
      </c>
      <c r="M96" s="237">
        <f t="shared" si="15"/>
        <v>1019.2399999999998</v>
      </c>
      <c r="N96" s="34"/>
      <c r="O96" s="34"/>
      <c r="P96" s="34"/>
      <c r="Q96" s="34"/>
      <c r="R96" s="34"/>
      <c r="S96" s="34"/>
    </row>
    <row r="97" spans="1:19" ht="14" hidden="1">
      <c r="A97" s="234" t="s">
        <v>90</v>
      </c>
      <c r="B97" s="235"/>
      <c r="C97" s="235"/>
      <c r="D97" s="236">
        <f t="shared" si="11"/>
        <v>0</v>
      </c>
      <c r="E97" s="235"/>
      <c r="F97" s="235"/>
      <c r="G97" s="236">
        <f t="shared" si="12"/>
        <v>0</v>
      </c>
      <c r="H97" s="235"/>
      <c r="I97" s="235"/>
      <c r="J97" s="236">
        <f t="shared" si="13"/>
        <v>0</v>
      </c>
      <c r="K97" s="236">
        <f t="shared" si="14"/>
        <v>0</v>
      </c>
      <c r="L97" s="236">
        <f t="shared" si="14"/>
        <v>0</v>
      </c>
      <c r="M97" s="236">
        <f t="shared" si="15"/>
        <v>0</v>
      </c>
      <c r="N97" s="34"/>
      <c r="O97" s="34"/>
      <c r="P97" s="34"/>
      <c r="Q97" s="34"/>
      <c r="R97" s="34"/>
      <c r="S97" s="34"/>
    </row>
    <row r="98" spans="1:19" ht="14" hidden="1">
      <c r="A98" s="234" t="s">
        <v>91</v>
      </c>
      <c r="B98" s="236">
        <f>264.97</f>
        <v>264.97000000000003</v>
      </c>
      <c r="C98" s="236">
        <f>1155</f>
        <v>1155</v>
      </c>
      <c r="D98" s="236">
        <f t="shared" si="11"/>
        <v>-890.03</v>
      </c>
      <c r="E98" s="236">
        <f>176.34</f>
        <v>176.34</v>
      </c>
      <c r="F98" s="236">
        <f>1155</f>
        <v>1155</v>
      </c>
      <c r="G98" s="236">
        <f t="shared" si="12"/>
        <v>-978.66</v>
      </c>
      <c r="H98" s="236">
        <f>12.99</f>
        <v>12.99</v>
      </c>
      <c r="I98" s="236">
        <f>385</f>
        <v>385</v>
      </c>
      <c r="J98" s="236">
        <f t="shared" si="13"/>
        <v>-372.01</v>
      </c>
      <c r="K98" s="236">
        <f t="shared" si="14"/>
        <v>454.30000000000007</v>
      </c>
      <c r="L98" s="236">
        <f t="shared" si="14"/>
        <v>2695</v>
      </c>
      <c r="M98" s="236">
        <f t="shared" si="15"/>
        <v>-2240.6999999999998</v>
      </c>
      <c r="N98" s="34"/>
      <c r="O98" s="34"/>
      <c r="P98" s="34"/>
      <c r="Q98" s="34"/>
      <c r="R98" s="34"/>
      <c r="S98" s="34"/>
    </row>
    <row r="99" spans="1:19" ht="14" hidden="1">
      <c r="A99" s="234" t="s">
        <v>92</v>
      </c>
      <c r="B99" s="235"/>
      <c r="C99" s="236">
        <f>63</f>
        <v>63</v>
      </c>
      <c r="D99" s="236">
        <f t="shared" si="11"/>
        <v>-63</v>
      </c>
      <c r="E99" s="235"/>
      <c r="F99" s="236">
        <f>63</f>
        <v>63</v>
      </c>
      <c r="G99" s="236">
        <f t="shared" si="12"/>
        <v>-63</v>
      </c>
      <c r="H99" s="235"/>
      <c r="I99" s="236">
        <f>21</f>
        <v>21</v>
      </c>
      <c r="J99" s="236">
        <f t="shared" si="13"/>
        <v>-21</v>
      </c>
      <c r="K99" s="236">
        <f t="shared" si="14"/>
        <v>0</v>
      </c>
      <c r="L99" s="236">
        <f t="shared" si="14"/>
        <v>147</v>
      </c>
      <c r="M99" s="236">
        <f t="shared" si="15"/>
        <v>-147</v>
      </c>
      <c r="N99" s="34"/>
      <c r="O99" s="34"/>
      <c r="P99" s="34"/>
      <c r="Q99" s="34"/>
      <c r="R99" s="34"/>
      <c r="S99" s="34"/>
    </row>
    <row r="100" spans="1:19" ht="14" hidden="1">
      <c r="A100" s="234" t="s">
        <v>314</v>
      </c>
      <c r="B100" s="236">
        <f>470</f>
        <v>470</v>
      </c>
      <c r="C100" s="236">
        <f>300</f>
        <v>300</v>
      </c>
      <c r="D100" s="236">
        <f t="shared" si="11"/>
        <v>170</v>
      </c>
      <c r="E100" s="236">
        <f>140</f>
        <v>140</v>
      </c>
      <c r="F100" s="236">
        <f>300</f>
        <v>300</v>
      </c>
      <c r="G100" s="236">
        <f t="shared" si="12"/>
        <v>-160</v>
      </c>
      <c r="H100" s="235"/>
      <c r="I100" s="236">
        <f>100</f>
        <v>100</v>
      </c>
      <c r="J100" s="236">
        <f t="shared" si="13"/>
        <v>-100</v>
      </c>
      <c r="K100" s="236">
        <f t="shared" si="14"/>
        <v>610</v>
      </c>
      <c r="L100" s="236">
        <f t="shared" si="14"/>
        <v>700</v>
      </c>
      <c r="M100" s="236">
        <f t="shared" si="15"/>
        <v>-90</v>
      </c>
      <c r="N100" s="34"/>
      <c r="O100" s="34"/>
      <c r="P100" s="34"/>
      <c r="Q100" s="34"/>
      <c r="R100" s="34"/>
      <c r="S100" s="34"/>
    </row>
    <row r="101" spans="1:19" ht="14">
      <c r="A101" s="234" t="s">
        <v>93</v>
      </c>
      <c r="B101" s="237">
        <f>(((B97)+(B98))+(B99))+(B100)</f>
        <v>734.97</v>
      </c>
      <c r="C101" s="237">
        <f>(((C97)+(C98))+(C99))+(C100)</f>
        <v>1518</v>
      </c>
      <c r="D101" s="237">
        <f t="shared" si="11"/>
        <v>-783.03</v>
      </c>
      <c r="E101" s="237">
        <f>(((E97)+(E98))+(E99))+(E100)</f>
        <v>316.34000000000003</v>
      </c>
      <c r="F101" s="237">
        <f>(((F97)+(F98))+(F99))+(F100)</f>
        <v>1518</v>
      </c>
      <c r="G101" s="237">
        <f t="shared" si="12"/>
        <v>-1201.6599999999999</v>
      </c>
      <c r="H101" s="237">
        <f>(((H97)+(H98))+(H99))+(H100)</f>
        <v>12.99</v>
      </c>
      <c r="I101" s="237">
        <f>(((I97)+(I98))+(I99))+(I100)</f>
        <v>506</v>
      </c>
      <c r="J101" s="237">
        <f t="shared" si="13"/>
        <v>-493.01</v>
      </c>
      <c r="K101" s="237">
        <f t="shared" si="14"/>
        <v>1064.3</v>
      </c>
      <c r="L101" s="237">
        <f t="shared" si="14"/>
        <v>3542</v>
      </c>
      <c r="M101" s="237">
        <f t="shared" si="15"/>
        <v>-2477.6999999999998</v>
      </c>
      <c r="N101" s="34"/>
      <c r="O101" s="34"/>
      <c r="P101" s="34"/>
      <c r="Q101" s="34"/>
      <c r="R101" s="34"/>
      <c r="S101" s="34"/>
    </row>
    <row r="102" spans="1:19" ht="14">
      <c r="A102" s="234" t="s">
        <v>94</v>
      </c>
      <c r="B102" s="237">
        <f>(((((B46)+(B50))+(B60))+(B67))+(B96))+(B101)</f>
        <v>64155.81</v>
      </c>
      <c r="C102" s="237">
        <f>(((((C46)+(C50))+(C60))+(C67))+(C96))+(C101)</f>
        <v>27084</v>
      </c>
      <c r="D102" s="237">
        <f t="shared" si="11"/>
        <v>37071.81</v>
      </c>
      <c r="E102" s="237">
        <f>(((((E46)+(E50))+(E60))+(E67))+(E96))+(E101)</f>
        <v>10491.57</v>
      </c>
      <c r="F102" s="237">
        <f>(((((F46)+(F50))+(F60))+(F67))+(F96))+(F101)</f>
        <v>27084</v>
      </c>
      <c r="G102" s="237">
        <f t="shared" si="12"/>
        <v>-16592.43</v>
      </c>
      <c r="H102" s="237">
        <f>(((((H46)+(H50))+(H60))+(H67))+(H96))+(H101)</f>
        <v>545.78</v>
      </c>
      <c r="I102" s="237">
        <f>(((((I46)+(I50))+(I60))+(I67))+(I96))+(I101)</f>
        <v>9028</v>
      </c>
      <c r="J102" s="237">
        <f t="shared" si="13"/>
        <v>-8482.2199999999993</v>
      </c>
      <c r="K102" s="237">
        <f t="shared" si="14"/>
        <v>75193.16</v>
      </c>
      <c r="L102" s="237">
        <f t="shared" si="14"/>
        <v>63196</v>
      </c>
      <c r="M102" s="237">
        <f t="shared" si="15"/>
        <v>11997.160000000003</v>
      </c>
      <c r="N102" s="34"/>
      <c r="O102" s="34"/>
      <c r="P102" s="34"/>
      <c r="Q102" s="34"/>
      <c r="R102" s="34"/>
      <c r="S102" s="34"/>
    </row>
    <row r="103" spans="1:19" ht="14">
      <c r="A103" s="234" t="s">
        <v>95</v>
      </c>
      <c r="B103" s="237">
        <f>(B44)+(B102)</f>
        <v>282316.43999999994</v>
      </c>
      <c r="C103" s="237">
        <f>(C44)+(C102)</f>
        <v>262857.99</v>
      </c>
      <c r="D103" s="237">
        <f t="shared" si="11"/>
        <v>19458.449999999953</v>
      </c>
      <c r="E103" s="237">
        <f>(E44)+(E102)</f>
        <v>247345.59999999998</v>
      </c>
      <c r="F103" s="237">
        <f>(F44)+(F102)</f>
        <v>262857.99</v>
      </c>
      <c r="G103" s="237">
        <f t="shared" si="12"/>
        <v>-15512.390000000014</v>
      </c>
      <c r="H103" s="237">
        <f>(H44)+(H102)</f>
        <v>78471.849999999991</v>
      </c>
      <c r="I103" s="237">
        <f>(I44)+(I102)</f>
        <v>87619.33</v>
      </c>
      <c r="J103" s="237">
        <f t="shared" si="13"/>
        <v>-9147.4800000000105</v>
      </c>
      <c r="K103" s="237">
        <f t="shared" si="14"/>
        <v>608133.8899999999</v>
      </c>
      <c r="L103" s="237">
        <f t="shared" si="14"/>
        <v>613335.30999999994</v>
      </c>
      <c r="M103" s="237">
        <f t="shared" si="15"/>
        <v>-5201.4200000000419</v>
      </c>
      <c r="N103" s="34"/>
      <c r="O103" s="34"/>
      <c r="P103" s="34"/>
      <c r="Q103" s="34"/>
      <c r="R103" s="34"/>
      <c r="S103" s="34"/>
    </row>
    <row r="104" spans="1:19" ht="14">
      <c r="A104" s="234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34"/>
      <c r="O104" s="34"/>
      <c r="P104" s="34"/>
      <c r="Q104" s="34"/>
      <c r="R104" s="34"/>
      <c r="S104" s="34"/>
    </row>
    <row r="105" spans="1:19" ht="14">
      <c r="A105" s="234" t="s">
        <v>96</v>
      </c>
      <c r="B105" s="237">
        <f>(B16)-(B103)</f>
        <v>-191515.64999999997</v>
      </c>
      <c r="C105" s="237">
        <f>(C16)-(C103)</f>
        <v>-99942.989999999991</v>
      </c>
      <c r="D105" s="237">
        <f t="shared" si="11"/>
        <v>-91572.659999999974</v>
      </c>
      <c r="E105" s="237">
        <f>(E16)-(E103)</f>
        <v>292361.56000000006</v>
      </c>
      <c r="F105" s="237">
        <f>(F16)-(F103)</f>
        <v>-99942.989999999991</v>
      </c>
      <c r="G105" s="237">
        <f t="shared" si="12"/>
        <v>392304.55000000005</v>
      </c>
      <c r="H105" s="237">
        <f>(H16)-(H103)</f>
        <v>-71635.599999999991</v>
      </c>
      <c r="I105" s="237">
        <f>(I16)-(I103)</f>
        <v>-33314.33</v>
      </c>
      <c r="J105" s="237">
        <f t="shared" si="13"/>
        <v>-38321.26999999999</v>
      </c>
      <c r="K105" s="237">
        <f t="shared" si="14"/>
        <v>29210.3100000001</v>
      </c>
      <c r="L105" s="237">
        <f t="shared" si="14"/>
        <v>-233200.31</v>
      </c>
      <c r="M105" s="237">
        <f t="shared" si="15"/>
        <v>262410.62000000011</v>
      </c>
      <c r="N105" s="34"/>
      <c r="O105" s="34"/>
      <c r="P105" s="34"/>
      <c r="Q105" s="34"/>
      <c r="R105" s="34"/>
      <c r="S105" s="34"/>
    </row>
    <row r="106" spans="1:19" ht="14">
      <c r="A106" s="234" t="s">
        <v>97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34"/>
      <c r="O106" s="34"/>
      <c r="P106" s="34"/>
      <c r="Q106" s="34"/>
      <c r="R106" s="34"/>
      <c r="S106" s="34"/>
    </row>
    <row r="107" spans="1:19" ht="14">
      <c r="A107" s="234" t="s">
        <v>103</v>
      </c>
      <c r="B107" s="236">
        <f>230.61</f>
        <v>230.61</v>
      </c>
      <c r="C107" s="236">
        <f>2640</f>
        <v>2640</v>
      </c>
      <c r="D107" s="236">
        <f t="shared" ref="D107:D112" si="16">(B107)-(C107)</f>
        <v>-2409.39</v>
      </c>
      <c r="E107" s="236">
        <f>1071.91</f>
        <v>1071.9100000000001</v>
      </c>
      <c r="F107" s="236">
        <f>2640</f>
        <v>2640</v>
      </c>
      <c r="G107" s="236">
        <f t="shared" ref="G107:G112" si="17">(E107)-(F107)</f>
        <v>-1568.09</v>
      </c>
      <c r="H107" s="236">
        <f>437.4</f>
        <v>437.4</v>
      </c>
      <c r="I107" s="236">
        <f>880</f>
        <v>880</v>
      </c>
      <c r="J107" s="236">
        <f t="shared" ref="J107:J112" si="18">(H107)-(I107)</f>
        <v>-442.6</v>
      </c>
      <c r="K107" s="236">
        <f t="shared" ref="K107:L112" si="19">((B107)+(E107))+(H107)</f>
        <v>1739.92</v>
      </c>
      <c r="L107" s="236">
        <f t="shared" si="19"/>
        <v>6160</v>
      </c>
      <c r="M107" s="236">
        <f t="shared" ref="M107:M112" si="20">(K107)-(L107)</f>
        <v>-4420.08</v>
      </c>
      <c r="N107" s="34"/>
      <c r="O107" s="34"/>
      <c r="P107" s="34"/>
      <c r="Q107" s="34"/>
      <c r="R107" s="34"/>
      <c r="S107" s="34"/>
    </row>
    <row r="108" spans="1:19" ht="14">
      <c r="A108" s="234" t="s">
        <v>105</v>
      </c>
      <c r="B108" s="236">
        <f>5050.34</f>
        <v>5050.34</v>
      </c>
      <c r="C108" s="235"/>
      <c r="D108" s="236">
        <f t="shared" si="16"/>
        <v>5050.34</v>
      </c>
      <c r="E108" s="236">
        <f>8780.74</f>
        <v>8780.74</v>
      </c>
      <c r="F108" s="235"/>
      <c r="G108" s="236">
        <f t="shared" si="17"/>
        <v>8780.74</v>
      </c>
      <c r="H108" s="236">
        <f>3655.45</f>
        <v>3655.45</v>
      </c>
      <c r="I108" s="235"/>
      <c r="J108" s="236">
        <f t="shared" si="18"/>
        <v>3655.45</v>
      </c>
      <c r="K108" s="236">
        <f t="shared" si="19"/>
        <v>17486.53</v>
      </c>
      <c r="L108" s="236">
        <f t="shared" si="19"/>
        <v>0</v>
      </c>
      <c r="M108" s="236">
        <f t="shared" si="20"/>
        <v>17486.53</v>
      </c>
      <c r="N108" s="34"/>
      <c r="O108" s="34"/>
      <c r="P108" s="34"/>
      <c r="Q108" s="34"/>
      <c r="R108" s="34"/>
      <c r="S108" s="34"/>
    </row>
    <row r="109" spans="1:19" ht="14" hidden="1">
      <c r="A109" s="234"/>
      <c r="B109" s="235"/>
      <c r="C109" s="235"/>
      <c r="D109" s="236"/>
      <c r="E109" s="236"/>
      <c r="F109" s="235"/>
      <c r="G109" s="236"/>
      <c r="H109" s="235"/>
      <c r="I109" s="235"/>
      <c r="J109" s="236"/>
      <c r="K109" s="236"/>
      <c r="L109" s="236"/>
      <c r="M109" s="236"/>
      <c r="N109" s="34"/>
      <c r="O109" s="34"/>
      <c r="P109" s="34"/>
      <c r="Q109" s="34"/>
      <c r="R109" s="34"/>
      <c r="S109" s="34"/>
    </row>
    <row r="110" spans="1:19" ht="14">
      <c r="A110" s="234" t="s">
        <v>98</v>
      </c>
      <c r="B110" s="237">
        <f>((B107)+(B108))+(B109)</f>
        <v>5280.95</v>
      </c>
      <c r="C110" s="237">
        <f>((C107)+(C108))+(C109)</f>
        <v>2640</v>
      </c>
      <c r="D110" s="237">
        <f t="shared" si="16"/>
        <v>2640.95</v>
      </c>
      <c r="E110" s="237">
        <f>((E107)+(E108))+(E109)</f>
        <v>9852.65</v>
      </c>
      <c r="F110" s="237">
        <f>((F107)+(F108))+(F109)</f>
        <v>2640</v>
      </c>
      <c r="G110" s="237">
        <f t="shared" si="17"/>
        <v>7212.65</v>
      </c>
      <c r="H110" s="237">
        <f>((H107)+(H108))+(H109)</f>
        <v>4092.85</v>
      </c>
      <c r="I110" s="237">
        <f>((I107)+(I108))+(I109)</f>
        <v>880</v>
      </c>
      <c r="J110" s="237">
        <f t="shared" si="18"/>
        <v>3212.85</v>
      </c>
      <c r="K110" s="237">
        <f t="shared" si="19"/>
        <v>19226.449999999997</v>
      </c>
      <c r="L110" s="237">
        <f t="shared" si="19"/>
        <v>6160</v>
      </c>
      <c r="M110" s="237">
        <f t="shared" si="20"/>
        <v>13066.449999999997</v>
      </c>
      <c r="N110" s="34"/>
      <c r="O110" s="34"/>
      <c r="P110" s="34"/>
      <c r="Q110" s="34"/>
      <c r="R110" s="34"/>
      <c r="S110" s="34"/>
    </row>
    <row r="111" spans="1:19" ht="14">
      <c r="A111" s="234" t="s">
        <v>99</v>
      </c>
      <c r="B111" s="237">
        <f>(B110)-(0)</f>
        <v>5280.95</v>
      </c>
      <c r="C111" s="237">
        <f>(C110)-(0)</f>
        <v>2640</v>
      </c>
      <c r="D111" s="237">
        <f t="shared" si="16"/>
        <v>2640.95</v>
      </c>
      <c r="E111" s="237">
        <f>(E110)-(0)</f>
        <v>9852.65</v>
      </c>
      <c r="F111" s="237">
        <f>(F110)-(0)</f>
        <v>2640</v>
      </c>
      <c r="G111" s="237">
        <f t="shared" si="17"/>
        <v>7212.65</v>
      </c>
      <c r="H111" s="237">
        <f>(H110)-(0)</f>
        <v>4092.85</v>
      </c>
      <c r="I111" s="237">
        <f>(I110)-(0)</f>
        <v>880</v>
      </c>
      <c r="J111" s="237">
        <f t="shared" si="18"/>
        <v>3212.85</v>
      </c>
      <c r="K111" s="237">
        <f t="shared" si="19"/>
        <v>19226.449999999997</v>
      </c>
      <c r="L111" s="237">
        <f t="shared" si="19"/>
        <v>6160</v>
      </c>
      <c r="M111" s="237">
        <f t="shared" si="20"/>
        <v>13066.449999999997</v>
      </c>
      <c r="N111" s="34"/>
      <c r="O111" s="34"/>
      <c r="P111" s="34"/>
      <c r="Q111" s="34"/>
      <c r="R111" s="34"/>
      <c r="S111" s="34"/>
    </row>
    <row r="112" spans="1:19" ht="14">
      <c r="A112" s="234" t="s">
        <v>100</v>
      </c>
      <c r="B112" s="237">
        <f>(B105)+(B111)</f>
        <v>-186234.69999999995</v>
      </c>
      <c r="C112" s="237">
        <f>(C105)+(C111)</f>
        <v>-97302.989999999991</v>
      </c>
      <c r="D112" s="237">
        <f t="shared" si="16"/>
        <v>-88931.709999999963</v>
      </c>
      <c r="E112" s="237">
        <f>(E105)+(E111)</f>
        <v>302214.21000000008</v>
      </c>
      <c r="F112" s="237">
        <f>(F105)+(F111)</f>
        <v>-97302.989999999991</v>
      </c>
      <c r="G112" s="237">
        <f t="shared" si="17"/>
        <v>399517.20000000007</v>
      </c>
      <c r="H112" s="237">
        <f>(H105)+(H111)</f>
        <v>-67542.749999999985</v>
      </c>
      <c r="I112" s="237">
        <f>(I105)+(I111)</f>
        <v>-32434.33</v>
      </c>
      <c r="J112" s="237">
        <f t="shared" si="18"/>
        <v>-35108.419999999984</v>
      </c>
      <c r="K112" s="237">
        <f t="shared" si="19"/>
        <v>48436.76000000014</v>
      </c>
      <c r="L112" s="237">
        <f t="shared" si="19"/>
        <v>-227040.31</v>
      </c>
      <c r="M112" s="237">
        <f t="shared" si="20"/>
        <v>275477.07000000012</v>
      </c>
      <c r="N112" s="34"/>
      <c r="O112" s="34"/>
      <c r="P112" s="34"/>
      <c r="Q112" s="34"/>
      <c r="R112" s="34"/>
      <c r="S112" s="34"/>
    </row>
    <row r="113" spans="1:19" ht="14">
      <c r="A113" s="224"/>
      <c r="B113" s="230"/>
      <c r="C113" s="230"/>
      <c r="D113" s="230"/>
      <c r="E113" s="230"/>
      <c r="F113" s="230"/>
      <c r="G113" s="230"/>
      <c r="H113" s="230"/>
      <c r="I113" s="230"/>
      <c r="J113" s="230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5.75" customHeight="1">
      <c r="A114" s="224" t="s">
        <v>320</v>
      </c>
      <c r="B114" s="226">
        <v>932625</v>
      </c>
      <c r="C114" s="34"/>
      <c r="D114" s="34"/>
      <c r="E114" s="226">
        <f>+B115</f>
        <v>746390.3</v>
      </c>
      <c r="F114" s="34"/>
      <c r="G114" s="34"/>
      <c r="H114" s="226">
        <f>+E115</f>
        <v>1048604.51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15.75" customHeight="1">
      <c r="A115" s="224" t="s">
        <v>321</v>
      </c>
      <c r="B115" s="232">
        <f>+B114+B15-B103+B110</f>
        <v>746390.3</v>
      </c>
      <c r="C115" s="231"/>
      <c r="D115" s="231"/>
      <c r="E115" s="232">
        <f>+E114+E15-E103+E110</f>
        <v>1048604.51</v>
      </c>
      <c r="F115" s="34"/>
      <c r="G115" s="34"/>
      <c r="H115" s="232">
        <f>+H114+H15-H103+H110</f>
        <v>981061.76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15.75" customHeight="1">
      <c r="A118" s="34"/>
      <c r="B118" s="34"/>
      <c r="C118" s="34"/>
      <c r="D118" s="34"/>
      <c r="E118" s="231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1:19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19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19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19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1:19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1:19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19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19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19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1:19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1:19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1:19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1:19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1:19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1:19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19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19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1:19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1:19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1:19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1:19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1:19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1:19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1:19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1:19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1:19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1:19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1:19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1:19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1:19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1:19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1:19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1:19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19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1:19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1:19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1:19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1:19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1:19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1:19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19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1:19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19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19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1:19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1:19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1:19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1:19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1:19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1:19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1:19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1:19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1:19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1:19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1:19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1:19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1:19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1:19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1:19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1:19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1:19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1:19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1:19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1:19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1:19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1:19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19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1:19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1:19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1:19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1:19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1:19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1:19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1:19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1:19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1:19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1:19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1:19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1:19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1:19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1:19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1:19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1:19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1:19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1:19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1:19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1:19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1:19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1:19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1:19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1:19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1:19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1:19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1:19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1:19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1:19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1:19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1:19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1:19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1:19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1:19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1:19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1:19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1:19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1:19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1:19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1:19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1:19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1:19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1:19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1:19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1:19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1:19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1:19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1:19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1:19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1:19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1:19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1:19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1:19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1:19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1:19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1:19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1:19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1:19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1:19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1:19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1:19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1:19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1:19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1:19" ht="15.75" customHeight="1"/>
    <row r="265" spans="1:19" ht="15.75" customHeight="1"/>
    <row r="266" spans="1:19" ht="15.75" customHeight="1"/>
    <row r="267" spans="1:19" ht="15.75" customHeight="1"/>
    <row r="268" spans="1:19" ht="15.75" customHeight="1"/>
    <row r="269" spans="1:19" ht="15.75" customHeight="1"/>
    <row r="270" spans="1:19" ht="15.75" customHeight="1"/>
    <row r="271" spans="1:19" ht="15.75" customHeight="1"/>
    <row r="272" spans="1:19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</sheetData>
  <mergeCells count="7">
    <mergeCell ref="K5:M5"/>
    <mergeCell ref="H5:J5"/>
    <mergeCell ref="B5:D5"/>
    <mergeCell ref="E5:G5"/>
    <mergeCell ref="A1:M1"/>
    <mergeCell ref="A2:M2"/>
    <mergeCell ref="A3:M3"/>
  </mergeCells>
  <printOptions horizontalCentered="1"/>
  <pageMargins left="0.25" right="0.25" top="0.75" bottom="0.75" header="0.3" footer="0.3"/>
  <pageSetup scale="62" fitToHeight="2" orientation="landscape"/>
  <ignoredErrors>
    <ignoredError sqref="D114 D14:G11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0E54F-D263-EB46-B8C8-42D15D78CF3E}">
  <sheetPr>
    <pageSetUpPr fitToPage="1"/>
  </sheetPr>
  <dimension ref="A1:I90"/>
  <sheetViews>
    <sheetView zoomScale="150" zoomScaleNormal="150" workbookViewId="0">
      <selection activeCell="C95" sqref="C95:C96"/>
    </sheetView>
  </sheetViews>
  <sheetFormatPr baseColWidth="10" defaultColWidth="8.83203125" defaultRowHeight="14"/>
  <cols>
    <col min="1" max="1" width="51" customWidth="1"/>
    <col min="2" max="2" width="8.6640625" customWidth="1"/>
    <col min="3" max="3" width="9.5" customWidth="1"/>
    <col min="4" max="7" width="7.6640625" customWidth="1"/>
    <col min="8" max="8" width="8.6640625" customWidth="1"/>
    <col min="9" max="9" width="7.6640625" customWidth="1"/>
  </cols>
  <sheetData>
    <row r="1" spans="1:9" ht="18">
      <c r="A1" s="248" t="s">
        <v>287</v>
      </c>
      <c r="B1" s="247"/>
      <c r="C1" s="247"/>
      <c r="D1" s="247"/>
      <c r="E1" s="247"/>
      <c r="F1" s="247"/>
      <c r="G1" s="247"/>
      <c r="H1" s="247"/>
      <c r="I1" s="247"/>
    </row>
    <row r="2" spans="1:9" ht="18">
      <c r="A2" s="248" t="s">
        <v>104</v>
      </c>
      <c r="B2" s="247"/>
      <c r="C2" s="247"/>
      <c r="D2" s="247"/>
      <c r="E2" s="247"/>
      <c r="F2" s="247"/>
      <c r="G2" s="247"/>
      <c r="H2" s="247"/>
      <c r="I2" s="247"/>
    </row>
    <row r="3" spans="1:9">
      <c r="A3" s="249" t="s">
        <v>325</v>
      </c>
      <c r="B3" s="247"/>
      <c r="C3" s="247"/>
      <c r="D3" s="247"/>
      <c r="E3" s="247"/>
      <c r="F3" s="247"/>
      <c r="G3" s="247"/>
      <c r="H3" s="247"/>
      <c r="I3" s="247"/>
    </row>
    <row r="5" spans="1:9">
      <c r="A5" s="220"/>
      <c r="B5" s="233" t="s">
        <v>288</v>
      </c>
      <c r="C5" s="233" t="s">
        <v>289</v>
      </c>
      <c r="D5" s="233" t="s">
        <v>315</v>
      </c>
      <c r="E5" s="233" t="s">
        <v>316</v>
      </c>
      <c r="F5" s="233" t="s">
        <v>323</v>
      </c>
      <c r="G5" s="233" t="s">
        <v>326</v>
      </c>
      <c r="H5" s="233" t="s">
        <v>327</v>
      </c>
      <c r="I5" s="233" t="s">
        <v>26</v>
      </c>
    </row>
    <row r="6" spans="1:9">
      <c r="A6" s="234" t="s">
        <v>101</v>
      </c>
      <c r="B6" s="235"/>
      <c r="C6" s="235"/>
      <c r="D6" s="235"/>
      <c r="E6" s="235"/>
      <c r="F6" s="235"/>
      <c r="G6" s="235"/>
      <c r="H6" s="235"/>
      <c r="I6" s="235"/>
    </row>
    <row r="7" spans="1:9">
      <c r="A7" s="234" t="s">
        <v>27</v>
      </c>
      <c r="B7" s="236">
        <f>2500</f>
        <v>2500</v>
      </c>
      <c r="C7" s="236">
        <f>400</f>
        <v>400</v>
      </c>
      <c r="D7" s="236">
        <f>67100</f>
        <v>67100</v>
      </c>
      <c r="E7" s="235"/>
      <c r="F7" s="236">
        <f>137800</f>
        <v>137800</v>
      </c>
      <c r="G7" s="236">
        <f>179500</f>
        <v>179500</v>
      </c>
      <c r="H7" s="236">
        <f>5500</f>
        <v>5500</v>
      </c>
      <c r="I7" s="236">
        <f t="shared" ref="I7:I14" si="0">((((((B7)+(C7))+(D7))+(E7))+(F7))+(G7))+(H7)</f>
        <v>392800</v>
      </c>
    </row>
    <row r="8" spans="1:9">
      <c r="A8" s="234" t="s">
        <v>28</v>
      </c>
      <c r="B8" s="236">
        <f>1000</f>
        <v>1000</v>
      </c>
      <c r="C8" s="235"/>
      <c r="D8" s="236">
        <f>55.37</f>
        <v>55.37</v>
      </c>
      <c r="E8" s="235"/>
      <c r="F8" s="236">
        <f>49.28</f>
        <v>49.28</v>
      </c>
      <c r="G8" s="235"/>
      <c r="H8" s="235"/>
      <c r="I8" s="236">
        <f t="shared" si="0"/>
        <v>1104.6499999999999</v>
      </c>
    </row>
    <row r="9" spans="1:9">
      <c r="A9" s="234" t="s">
        <v>324</v>
      </c>
      <c r="B9" s="235"/>
      <c r="C9" s="235"/>
      <c r="D9" s="235"/>
      <c r="E9" s="236">
        <f>144830</f>
        <v>144830</v>
      </c>
      <c r="F9" s="235"/>
      <c r="G9" s="235"/>
      <c r="H9" s="235"/>
      <c r="I9" s="236">
        <f t="shared" si="0"/>
        <v>144830</v>
      </c>
    </row>
    <row r="10" spans="1:9">
      <c r="A10" s="234" t="s">
        <v>29</v>
      </c>
      <c r="B10" s="236">
        <f>671.37</f>
        <v>671.37</v>
      </c>
      <c r="C10" s="236">
        <f>1012.3</f>
        <v>1012.3</v>
      </c>
      <c r="D10" s="236">
        <f>6181.75</f>
        <v>6181.75</v>
      </c>
      <c r="E10" s="236">
        <f>3316.25</f>
        <v>3316.25</v>
      </c>
      <c r="F10" s="236">
        <f>8249.61</f>
        <v>8249.61</v>
      </c>
      <c r="G10" s="236">
        <f>26211.1</f>
        <v>26211.1</v>
      </c>
      <c r="H10" s="236">
        <f>1336.25</f>
        <v>1336.25</v>
      </c>
      <c r="I10" s="236">
        <f t="shared" si="0"/>
        <v>46978.63</v>
      </c>
    </row>
    <row r="11" spans="1:9">
      <c r="A11" s="234" t="s">
        <v>30</v>
      </c>
      <c r="B11" s="235"/>
      <c r="C11" s="236">
        <f>6780</f>
        <v>6780</v>
      </c>
      <c r="D11" s="236">
        <f>5100</f>
        <v>5100</v>
      </c>
      <c r="E11" s="236">
        <f>5000</f>
        <v>5000</v>
      </c>
      <c r="F11" s="236">
        <f>600</f>
        <v>600</v>
      </c>
      <c r="G11" s="236">
        <f>34150.92</f>
        <v>34150.92</v>
      </c>
      <c r="H11" s="235"/>
      <c r="I11" s="236">
        <f t="shared" si="0"/>
        <v>51630.92</v>
      </c>
    </row>
    <row r="12" spans="1:9">
      <c r="A12" s="234" t="s">
        <v>32</v>
      </c>
      <c r="B12" s="237">
        <f t="shared" ref="B12:H12" si="1">(B10)+(B11)</f>
        <v>671.37</v>
      </c>
      <c r="C12" s="237">
        <f t="shared" si="1"/>
        <v>7792.3</v>
      </c>
      <c r="D12" s="237">
        <f t="shared" si="1"/>
        <v>11281.75</v>
      </c>
      <c r="E12" s="237">
        <f t="shared" si="1"/>
        <v>8316.25</v>
      </c>
      <c r="F12" s="237">
        <f t="shared" si="1"/>
        <v>8849.61</v>
      </c>
      <c r="G12" s="237">
        <f t="shared" si="1"/>
        <v>60362.02</v>
      </c>
      <c r="H12" s="237">
        <f t="shared" si="1"/>
        <v>1336.25</v>
      </c>
      <c r="I12" s="237">
        <f t="shared" si="0"/>
        <v>98609.549999999988</v>
      </c>
    </row>
    <row r="13" spans="1:9">
      <c r="A13" s="234" t="s">
        <v>33</v>
      </c>
      <c r="B13" s="237">
        <f t="shared" ref="B13:H13" si="2">(((B7)+(B8))+(B9))+(B12)</f>
        <v>4171.37</v>
      </c>
      <c r="C13" s="237">
        <f t="shared" si="2"/>
        <v>8192.2999999999993</v>
      </c>
      <c r="D13" s="237">
        <f t="shared" si="2"/>
        <v>78437.119999999995</v>
      </c>
      <c r="E13" s="237">
        <f t="shared" si="2"/>
        <v>153146.25</v>
      </c>
      <c r="F13" s="237">
        <f t="shared" si="2"/>
        <v>146698.89000000001</v>
      </c>
      <c r="G13" s="237">
        <f t="shared" si="2"/>
        <v>239862.02</v>
      </c>
      <c r="H13" s="237">
        <f t="shared" si="2"/>
        <v>6836.25</v>
      </c>
      <c r="I13" s="237">
        <f t="shared" si="0"/>
        <v>637344.19999999995</v>
      </c>
    </row>
    <row r="14" spans="1:9">
      <c r="A14" s="234" t="s">
        <v>34</v>
      </c>
      <c r="B14" s="237">
        <f t="shared" ref="B14:H14" si="3">(B13)-(0)</f>
        <v>4171.37</v>
      </c>
      <c r="C14" s="237">
        <f t="shared" si="3"/>
        <v>8192.2999999999993</v>
      </c>
      <c r="D14" s="237">
        <f t="shared" si="3"/>
        <v>78437.119999999995</v>
      </c>
      <c r="E14" s="237">
        <f t="shared" si="3"/>
        <v>153146.25</v>
      </c>
      <c r="F14" s="237">
        <f t="shared" si="3"/>
        <v>146698.89000000001</v>
      </c>
      <c r="G14" s="237">
        <f t="shared" si="3"/>
        <v>239862.02</v>
      </c>
      <c r="H14" s="237">
        <f t="shared" si="3"/>
        <v>6836.25</v>
      </c>
      <c r="I14" s="237">
        <f t="shared" si="0"/>
        <v>637344.19999999995</v>
      </c>
    </row>
    <row r="15" spans="1:9">
      <c r="A15" s="234" t="s">
        <v>102</v>
      </c>
      <c r="B15" s="235"/>
      <c r="C15" s="235"/>
      <c r="D15" s="235"/>
      <c r="E15" s="235"/>
      <c r="F15" s="235"/>
      <c r="G15" s="235"/>
      <c r="H15" s="235"/>
      <c r="I15" s="235"/>
    </row>
    <row r="16" spans="1:9">
      <c r="A16" s="234" t="s">
        <v>35</v>
      </c>
      <c r="B16" s="235"/>
      <c r="C16" s="235"/>
      <c r="D16" s="235"/>
      <c r="E16" s="235"/>
      <c r="F16" s="235"/>
      <c r="G16" s="235"/>
      <c r="H16" s="235"/>
      <c r="I16" s="236">
        <f t="shared" ref="I16:I79" si="4">((((((B16)+(C16))+(D16))+(E16))+(F16))+(G16))+(H16)</f>
        <v>0</v>
      </c>
    </row>
    <row r="17" spans="1:9">
      <c r="A17" s="234" t="s">
        <v>36</v>
      </c>
      <c r="B17" s="235"/>
      <c r="C17" s="235"/>
      <c r="D17" s="235"/>
      <c r="E17" s="235"/>
      <c r="F17" s="235"/>
      <c r="G17" s="235"/>
      <c r="H17" s="235"/>
      <c r="I17" s="236">
        <f t="shared" si="4"/>
        <v>0</v>
      </c>
    </row>
    <row r="18" spans="1:9">
      <c r="A18" s="234" t="s">
        <v>37</v>
      </c>
      <c r="B18" s="236">
        <f>687.5</f>
        <v>687.5</v>
      </c>
      <c r="C18" s="236">
        <f>390</f>
        <v>390</v>
      </c>
      <c r="D18" s="236">
        <f>678.75</f>
        <v>678.75</v>
      </c>
      <c r="E18" s="236">
        <f>680</f>
        <v>680</v>
      </c>
      <c r="F18" s="236">
        <f>471.25</f>
        <v>471.25</v>
      </c>
      <c r="G18" s="236">
        <f>633.75</f>
        <v>633.75</v>
      </c>
      <c r="H18" s="236">
        <f>7828.75</f>
        <v>7828.75</v>
      </c>
      <c r="I18" s="236">
        <f t="shared" si="4"/>
        <v>11370</v>
      </c>
    </row>
    <row r="19" spans="1:9">
      <c r="A19" s="234" t="s">
        <v>38</v>
      </c>
      <c r="B19" s="236">
        <f>20.98</f>
        <v>20.98</v>
      </c>
      <c r="C19" s="236">
        <f>125.47</f>
        <v>125.47</v>
      </c>
      <c r="D19" s="236">
        <f>170.98</f>
        <v>170.98</v>
      </c>
      <c r="E19" s="236">
        <f>70.55</f>
        <v>70.55</v>
      </c>
      <c r="F19" s="236">
        <f>103.65</f>
        <v>103.65</v>
      </c>
      <c r="G19" s="236">
        <f>376.6</f>
        <v>376.6</v>
      </c>
      <c r="H19" s="236">
        <f>95.95</f>
        <v>95.95</v>
      </c>
      <c r="I19" s="236">
        <f t="shared" si="4"/>
        <v>964.18000000000006</v>
      </c>
    </row>
    <row r="20" spans="1:9">
      <c r="A20" s="234" t="s">
        <v>39</v>
      </c>
      <c r="B20" s="237">
        <f t="shared" ref="B20:H20" si="5">((B17)+(B18))+(B19)</f>
        <v>708.48</v>
      </c>
      <c r="C20" s="237">
        <f t="shared" si="5"/>
        <v>515.47</v>
      </c>
      <c r="D20" s="237">
        <f t="shared" si="5"/>
        <v>849.73</v>
      </c>
      <c r="E20" s="237">
        <f t="shared" si="5"/>
        <v>750.55</v>
      </c>
      <c r="F20" s="237">
        <f t="shared" si="5"/>
        <v>574.9</v>
      </c>
      <c r="G20" s="237">
        <f t="shared" si="5"/>
        <v>1010.35</v>
      </c>
      <c r="H20" s="237">
        <f t="shared" si="5"/>
        <v>7924.7</v>
      </c>
      <c r="I20" s="237">
        <f t="shared" si="4"/>
        <v>12334.18</v>
      </c>
    </row>
    <row r="21" spans="1:9">
      <c r="A21" s="234" t="s">
        <v>40</v>
      </c>
      <c r="B21" s="235"/>
      <c r="C21" s="235"/>
      <c r="D21" s="235"/>
      <c r="E21" s="235"/>
      <c r="F21" s="235"/>
      <c r="G21" s="235"/>
      <c r="H21" s="235"/>
      <c r="I21" s="236">
        <f t="shared" si="4"/>
        <v>0</v>
      </c>
    </row>
    <row r="22" spans="1:9">
      <c r="A22" s="234" t="s">
        <v>41</v>
      </c>
      <c r="B22" s="236">
        <f>-1118.31</f>
        <v>-1118.31</v>
      </c>
      <c r="C22" s="235"/>
      <c r="D22" s="235"/>
      <c r="E22" s="235"/>
      <c r="F22" s="235"/>
      <c r="G22" s="236">
        <f>181.12</f>
        <v>181.12</v>
      </c>
      <c r="H22" s="235"/>
      <c r="I22" s="236">
        <f t="shared" si="4"/>
        <v>-937.18999999999994</v>
      </c>
    </row>
    <row r="23" spans="1:9">
      <c r="A23" s="234" t="s">
        <v>42</v>
      </c>
      <c r="B23" s="236">
        <f>706.37</f>
        <v>706.37</v>
      </c>
      <c r="C23" s="236">
        <f>136.37</f>
        <v>136.37</v>
      </c>
      <c r="D23" s="236">
        <f>136.37</f>
        <v>136.37</v>
      </c>
      <c r="E23" s="236">
        <f>1937.37</f>
        <v>1937.37</v>
      </c>
      <c r="F23" s="236">
        <f>136.37</f>
        <v>136.37</v>
      </c>
      <c r="G23" s="236">
        <f>136.37</f>
        <v>136.37</v>
      </c>
      <c r="H23" s="236">
        <f>124.84</f>
        <v>124.84</v>
      </c>
      <c r="I23" s="236">
        <f t="shared" si="4"/>
        <v>3314.06</v>
      </c>
    </row>
    <row r="24" spans="1:9">
      <c r="A24" s="234" t="s">
        <v>293</v>
      </c>
      <c r="B24" s="235"/>
      <c r="C24" s="235"/>
      <c r="D24" s="235"/>
      <c r="E24" s="235"/>
      <c r="F24" s="235"/>
      <c r="G24" s="236">
        <f>300</f>
        <v>300</v>
      </c>
      <c r="H24" s="235"/>
      <c r="I24" s="236">
        <f t="shared" si="4"/>
        <v>300</v>
      </c>
    </row>
    <row r="25" spans="1:9">
      <c r="A25" s="234" t="s">
        <v>43</v>
      </c>
      <c r="B25" s="237">
        <f t="shared" ref="B25:H25" si="6">(((B21)+(B22))+(B23))+(B24)</f>
        <v>-411.93999999999994</v>
      </c>
      <c r="C25" s="237">
        <f t="shared" si="6"/>
        <v>136.37</v>
      </c>
      <c r="D25" s="237">
        <f t="shared" si="6"/>
        <v>136.37</v>
      </c>
      <c r="E25" s="237">
        <f t="shared" si="6"/>
        <v>1937.37</v>
      </c>
      <c r="F25" s="237">
        <f t="shared" si="6"/>
        <v>136.37</v>
      </c>
      <c r="G25" s="237">
        <f t="shared" si="6"/>
        <v>617.49</v>
      </c>
      <c r="H25" s="237">
        <f t="shared" si="6"/>
        <v>124.84</v>
      </c>
      <c r="I25" s="237">
        <f t="shared" si="4"/>
        <v>2676.87</v>
      </c>
    </row>
    <row r="26" spans="1:9">
      <c r="A26" s="234" t="s">
        <v>44</v>
      </c>
      <c r="B26" s="235"/>
      <c r="C26" s="235"/>
      <c r="D26" s="235"/>
      <c r="E26" s="235"/>
      <c r="F26" s="235"/>
      <c r="G26" s="235"/>
      <c r="H26" s="235"/>
      <c r="I26" s="236">
        <f t="shared" si="4"/>
        <v>0</v>
      </c>
    </row>
    <row r="27" spans="1:9">
      <c r="A27" s="234" t="s">
        <v>45</v>
      </c>
      <c r="B27" s="236">
        <f>1800</f>
        <v>1800</v>
      </c>
      <c r="C27" s="236">
        <f>1300</f>
        <v>1300</v>
      </c>
      <c r="D27" s="236">
        <f>1800</f>
        <v>1800</v>
      </c>
      <c r="E27" s="235"/>
      <c r="F27" s="236">
        <f>750</f>
        <v>750</v>
      </c>
      <c r="G27" s="236">
        <f>1599.5</f>
        <v>1599.5</v>
      </c>
      <c r="H27" s="236">
        <f>2340</f>
        <v>2340</v>
      </c>
      <c r="I27" s="236">
        <f t="shared" si="4"/>
        <v>9589.5</v>
      </c>
    </row>
    <row r="28" spans="1:9">
      <c r="A28" s="234" t="s">
        <v>46</v>
      </c>
      <c r="B28" s="236">
        <f>228.82</f>
        <v>228.82</v>
      </c>
      <c r="C28" s="236">
        <f>228.82</f>
        <v>228.82</v>
      </c>
      <c r="D28" s="236">
        <f>228.82</f>
        <v>228.82</v>
      </c>
      <c r="E28" s="236">
        <f>229.9</f>
        <v>229.9</v>
      </c>
      <c r="F28" s="236">
        <f>229.9</f>
        <v>229.9</v>
      </c>
      <c r="G28" s="236">
        <f>229.9</f>
        <v>229.9</v>
      </c>
      <c r="H28" s="236">
        <f>230.36</f>
        <v>230.36</v>
      </c>
      <c r="I28" s="236">
        <f t="shared" si="4"/>
        <v>1606.52</v>
      </c>
    </row>
    <row r="29" spans="1:9">
      <c r="A29" s="234" t="s">
        <v>47</v>
      </c>
      <c r="B29" s="237">
        <f t="shared" ref="B29:H29" si="7">((B26)+(B27))+(B28)</f>
        <v>2028.82</v>
      </c>
      <c r="C29" s="237">
        <f t="shared" si="7"/>
        <v>1528.82</v>
      </c>
      <c r="D29" s="237">
        <f t="shared" si="7"/>
        <v>2028.82</v>
      </c>
      <c r="E29" s="237">
        <f t="shared" si="7"/>
        <v>229.9</v>
      </c>
      <c r="F29" s="237">
        <f t="shared" si="7"/>
        <v>979.9</v>
      </c>
      <c r="G29" s="237">
        <f t="shared" si="7"/>
        <v>1829.4</v>
      </c>
      <c r="H29" s="237">
        <f t="shared" si="7"/>
        <v>2570.36</v>
      </c>
      <c r="I29" s="237">
        <f t="shared" si="4"/>
        <v>11196.02</v>
      </c>
    </row>
    <row r="30" spans="1:9">
      <c r="A30" s="234" t="s">
        <v>48</v>
      </c>
      <c r="B30" s="235"/>
      <c r="C30" s="235"/>
      <c r="D30" s="235"/>
      <c r="E30" s="235"/>
      <c r="F30" s="235"/>
      <c r="G30" s="235"/>
      <c r="H30" s="235"/>
      <c r="I30" s="236">
        <f t="shared" si="4"/>
        <v>0</v>
      </c>
    </row>
    <row r="31" spans="1:9">
      <c r="A31" s="234" t="s">
        <v>49</v>
      </c>
      <c r="B31" s="236">
        <f>115.51</f>
        <v>115.51</v>
      </c>
      <c r="C31" s="235"/>
      <c r="D31" s="236">
        <f>32.85</f>
        <v>32.85</v>
      </c>
      <c r="E31" s="236">
        <f>44.21</f>
        <v>44.21</v>
      </c>
      <c r="F31" s="235"/>
      <c r="G31" s="236">
        <f>471.33</f>
        <v>471.33</v>
      </c>
      <c r="H31" s="236">
        <f>1411.75</f>
        <v>1411.75</v>
      </c>
      <c r="I31" s="236">
        <f t="shared" si="4"/>
        <v>2075.65</v>
      </c>
    </row>
    <row r="32" spans="1:9">
      <c r="A32" s="234" t="s">
        <v>50</v>
      </c>
      <c r="B32" s="237">
        <f t="shared" ref="B32:H32" si="8">(B30)+(B31)</f>
        <v>115.51</v>
      </c>
      <c r="C32" s="237">
        <f t="shared" si="8"/>
        <v>0</v>
      </c>
      <c r="D32" s="237">
        <f t="shared" si="8"/>
        <v>32.85</v>
      </c>
      <c r="E32" s="237">
        <f t="shared" si="8"/>
        <v>44.21</v>
      </c>
      <c r="F32" s="237">
        <f t="shared" si="8"/>
        <v>0</v>
      </c>
      <c r="G32" s="237">
        <f t="shared" si="8"/>
        <v>471.33</v>
      </c>
      <c r="H32" s="237">
        <f t="shared" si="8"/>
        <v>1411.75</v>
      </c>
      <c r="I32" s="237">
        <f t="shared" si="4"/>
        <v>2075.65</v>
      </c>
    </row>
    <row r="33" spans="1:9">
      <c r="A33" s="234" t="s">
        <v>51</v>
      </c>
      <c r="B33" s="235"/>
      <c r="C33" s="235"/>
      <c r="D33" s="235"/>
      <c r="E33" s="235"/>
      <c r="F33" s="235"/>
      <c r="G33" s="235"/>
      <c r="H33" s="235"/>
      <c r="I33" s="236">
        <f t="shared" si="4"/>
        <v>0</v>
      </c>
    </row>
    <row r="34" spans="1:9">
      <c r="A34" s="234" t="s">
        <v>52</v>
      </c>
      <c r="B34" s="236">
        <f t="shared" ref="B34:G34" si="9">61988.08</f>
        <v>61988.08</v>
      </c>
      <c r="C34" s="236">
        <f t="shared" si="9"/>
        <v>61988.08</v>
      </c>
      <c r="D34" s="236">
        <f t="shared" si="9"/>
        <v>61988.08</v>
      </c>
      <c r="E34" s="236">
        <f t="shared" si="9"/>
        <v>61988.08</v>
      </c>
      <c r="F34" s="236">
        <f t="shared" si="9"/>
        <v>61988.08</v>
      </c>
      <c r="G34" s="236">
        <f t="shared" si="9"/>
        <v>61988.08</v>
      </c>
      <c r="H34" s="236">
        <f>59450.33</f>
        <v>59450.33</v>
      </c>
      <c r="I34" s="236">
        <f t="shared" si="4"/>
        <v>431378.81000000006</v>
      </c>
    </row>
    <row r="35" spans="1:9">
      <c r="A35" s="234" t="s">
        <v>53</v>
      </c>
      <c r="B35" s="236">
        <f>4742.11</f>
        <v>4742.1099999999997</v>
      </c>
      <c r="C35" s="236">
        <f>4742.12</f>
        <v>4742.12</v>
      </c>
      <c r="D35" s="236">
        <f>4742.11</f>
        <v>4742.1099999999997</v>
      </c>
      <c r="E35" s="236">
        <f>4742.11</f>
        <v>4742.1099999999997</v>
      </c>
      <c r="F35" s="236">
        <f>4742.11</f>
        <v>4742.1099999999997</v>
      </c>
      <c r="G35" s="236">
        <f>4742.11</f>
        <v>4742.1099999999997</v>
      </c>
      <c r="H35" s="236">
        <f>5130.43</f>
        <v>5130.43</v>
      </c>
      <c r="I35" s="236">
        <f t="shared" si="4"/>
        <v>33583.100000000006</v>
      </c>
    </row>
    <row r="36" spans="1:9">
      <c r="A36" s="234" t="s">
        <v>54</v>
      </c>
      <c r="B36" s="236">
        <f>1429.75</f>
        <v>1429.75</v>
      </c>
      <c r="C36" s="236">
        <f>3732.18</f>
        <v>3732.18</v>
      </c>
      <c r="D36" s="236">
        <f>4417.07</f>
        <v>4417.07</v>
      </c>
      <c r="E36" s="236">
        <f>3896.43</f>
        <v>3896.43</v>
      </c>
      <c r="F36" s="236">
        <f>1584.73</f>
        <v>1584.73</v>
      </c>
      <c r="G36" s="236">
        <f>21796.91</f>
        <v>21796.91</v>
      </c>
      <c r="H36" s="236">
        <f>1179.87</f>
        <v>1179.8699999999999</v>
      </c>
      <c r="I36" s="236">
        <f t="shared" si="4"/>
        <v>38036.94</v>
      </c>
    </row>
    <row r="37" spans="1:9">
      <c r="A37" s="234" t="s">
        <v>55</v>
      </c>
      <c r="B37" s="236">
        <f>81.43</f>
        <v>81.430000000000007</v>
      </c>
      <c r="C37" s="236">
        <f>83.25</f>
        <v>83.25</v>
      </c>
      <c r="D37" s="236">
        <f>83.25</f>
        <v>83.25</v>
      </c>
      <c r="E37" s="236">
        <f>83.25</f>
        <v>83.25</v>
      </c>
      <c r="F37" s="236">
        <f>219.62</f>
        <v>219.62</v>
      </c>
      <c r="G37" s="236">
        <f>500.75</f>
        <v>500.75</v>
      </c>
      <c r="H37" s="236">
        <f>133.79</f>
        <v>133.79</v>
      </c>
      <c r="I37" s="236">
        <f t="shared" si="4"/>
        <v>1185.3399999999999</v>
      </c>
    </row>
    <row r="38" spans="1:9">
      <c r="A38" s="234" t="s">
        <v>56</v>
      </c>
      <c r="B38" s="236">
        <f>157.94</f>
        <v>157.94</v>
      </c>
      <c r="C38" s="236">
        <f>157.94</f>
        <v>157.94</v>
      </c>
      <c r="D38" s="236">
        <f>157.94</f>
        <v>157.94</v>
      </c>
      <c r="E38" s="235"/>
      <c r="F38" s="235"/>
      <c r="G38" s="235"/>
      <c r="H38" s="235"/>
      <c r="I38" s="236">
        <f t="shared" si="4"/>
        <v>473.82</v>
      </c>
    </row>
    <row r="39" spans="1:9">
      <c r="A39" s="234" t="s">
        <v>57</v>
      </c>
      <c r="B39" s="237">
        <f t="shared" ref="B39:H39" si="10">(((((B33)+(B34))+(B35))+(B36))+(B37))+(B38)</f>
        <v>68399.31</v>
      </c>
      <c r="C39" s="237">
        <f t="shared" si="10"/>
        <v>70703.569999999992</v>
      </c>
      <c r="D39" s="237">
        <f t="shared" si="10"/>
        <v>71388.450000000012</v>
      </c>
      <c r="E39" s="237">
        <f t="shared" si="10"/>
        <v>70709.87</v>
      </c>
      <c r="F39" s="237">
        <f t="shared" si="10"/>
        <v>68534.539999999994</v>
      </c>
      <c r="G39" s="237">
        <f t="shared" si="10"/>
        <v>89027.85</v>
      </c>
      <c r="H39" s="237">
        <f t="shared" si="10"/>
        <v>65894.42</v>
      </c>
      <c r="I39" s="237">
        <f t="shared" si="4"/>
        <v>504658.00999999995</v>
      </c>
    </row>
    <row r="40" spans="1:9">
      <c r="A40" s="234" t="s">
        <v>58</v>
      </c>
      <c r="B40" s="237">
        <f t="shared" ref="B40:H40" si="11">(((((B16)+(B20))+(B25))+(B29))+(B32))+(B39)</f>
        <v>70840.179999999993</v>
      </c>
      <c r="C40" s="237">
        <f t="shared" si="11"/>
        <v>72884.23</v>
      </c>
      <c r="D40" s="237">
        <f t="shared" si="11"/>
        <v>74436.220000000016</v>
      </c>
      <c r="E40" s="237">
        <f t="shared" si="11"/>
        <v>73671.899999999994</v>
      </c>
      <c r="F40" s="237">
        <f t="shared" si="11"/>
        <v>70225.709999999992</v>
      </c>
      <c r="G40" s="237">
        <f t="shared" si="11"/>
        <v>92956.420000000013</v>
      </c>
      <c r="H40" s="237">
        <f t="shared" si="11"/>
        <v>77926.069999999992</v>
      </c>
      <c r="I40" s="237">
        <f t="shared" si="4"/>
        <v>532940.73</v>
      </c>
    </row>
    <row r="41" spans="1:9">
      <c r="A41" s="234" t="s">
        <v>59</v>
      </c>
      <c r="B41" s="235"/>
      <c r="C41" s="235"/>
      <c r="D41" s="235"/>
      <c r="E41" s="235"/>
      <c r="F41" s="235"/>
      <c r="G41" s="235"/>
      <c r="H41" s="235"/>
      <c r="I41" s="236">
        <f t="shared" si="4"/>
        <v>0</v>
      </c>
    </row>
    <row r="42" spans="1:9">
      <c r="A42" s="234" t="s">
        <v>60</v>
      </c>
      <c r="B42" s="235"/>
      <c r="C42" s="235"/>
      <c r="D42" s="235"/>
      <c r="E42" s="235"/>
      <c r="F42" s="235"/>
      <c r="G42" s="235"/>
      <c r="H42" s="235"/>
      <c r="I42" s="236">
        <f t="shared" si="4"/>
        <v>0</v>
      </c>
    </row>
    <row r="43" spans="1:9">
      <c r="A43" s="234" t="s">
        <v>62</v>
      </c>
      <c r="B43" s="236">
        <f>20</f>
        <v>20</v>
      </c>
      <c r="C43" s="235"/>
      <c r="D43" s="236">
        <f>381.51</f>
        <v>381.51</v>
      </c>
      <c r="E43" s="236">
        <f>117.98</f>
        <v>117.98</v>
      </c>
      <c r="F43" s="236">
        <f>60</f>
        <v>60</v>
      </c>
      <c r="G43" s="236">
        <f>1502.14</f>
        <v>1502.14</v>
      </c>
      <c r="H43" s="235"/>
      <c r="I43" s="236">
        <f t="shared" si="4"/>
        <v>2081.63</v>
      </c>
    </row>
    <row r="44" spans="1:9">
      <c r="A44" s="234" t="s">
        <v>63</v>
      </c>
      <c r="B44" s="237">
        <f t="shared" ref="B44:H44" si="12">(B42)+(B43)</f>
        <v>20</v>
      </c>
      <c r="C44" s="237">
        <f t="shared" si="12"/>
        <v>0</v>
      </c>
      <c r="D44" s="237">
        <f t="shared" si="12"/>
        <v>381.51</v>
      </c>
      <c r="E44" s="237">
        <f t="shared" si="12"/>
        <v>117.98</v>
      </c>
      <c r="F44" s="237">
        <f t="shared" si="12"/>
        <v>60</v>
      </c>
      <c r="G44" s="237">
        <f t="shared" si="12"/>
        <v>1502.14</v>
      </c>
      <c r="H44" s="237">
        <f t="shared" si="12"/>
        <v>0</v>
      </c>
      <c r="I44" s="237">
        <f t="shared" si="4"/>
        <v>2081.63</v>
      </c>
    </row>
    <row r="45" spans="1:9">
      <c r="A45" s="234" t="s">
        <v>294</v>
      </c>
      <c r="B45" s="235"/>
      <c r="C45" s="235"/>
      <c r="D45" s="235"/>
      <c r="E45" s="235"/>
      <c r="F45" s="235"/>
      <c r="G45" s="235"/>
      <c r="H45" s="235"/>
      <c r="I45" s="236">
        <f t="shared" si="4"/>
        <v>0</v>
      </c>
    </row>
    <row r="46" spans="1:9">
      <c r="A46" s="234" t="s">
        <v>295</v>
      </c>
      <c r="B46" s="236">
        <f>321.49</f>
        <v>321.49</v>
      </c>
      <c r="C46" s="236">
        <f>1062.89</f>
        <v>1062.8900000000001</v>
      </c>
      <c r="D46" s="236">
        <f>1908.55</f>
        <v>1908.55</v>
      </c>
      <c r="E46" s="236">
        <f>856.61</f>
        <v>856.61</v>
      </c>
      <c r="F46" s="236">
        <f>304.23</f>
        <v>304.23</v>
      </c>
      <c r="G46" s="236">
        <f>120</f>
        <v>120</v>
      </c>
      <c r="H46" s="236">
        <f>78.48</f>
        <v>78.48</v>
      </c>
      <c r="I46" s="236">
        <f t="shared" si="4"/>
        <v>4652.25</v>
      </c>
    </row>
    <row r="47" spans="1:9">
      <c r="A47" s="234" t="s">
        <v>64</v>
      </c>
      <c r="B47" s="236">
        <f>113.13</f>
        <v>113.13</v>
      </c>
      <c r="C47" s="236">
        <f>91.2</f>
        <v>91.2</v>
      </c>
      <c r="D47" s="236">
        <f>135.99</f>
        <v>135.99</v>
      </c>
      <c r="E47" s="236">
        <f>82.55</f>
        <v>82.55</v>
      </c>
      <c r="F47" s="236">
        <f>75.45</f>
        <v>75.45</v>
      </c>
      <c r="G47" s="236">
        <f>131.92</f>
        <v>131.91999999999999</v>
      </c>
      <c r="H47" s="236">
        <f>130</f>
        <v>130</v>
      </c>
      <c r="I47" s="236">
        <f t="shared" si="4"/>
        <v>760.24</v>
      </c>
    </row>
    <row r="48" spans="1:9">
      <c r="A48" s="234" t="s">
        <v>301</v>
      </c>
      <c r="B48" s="237">
        <f t="shared" ref="B48:H48" si="13">((B45)+(B46))+(B47)</f>
        <v>434.62</v>
      </c>
      <c r="C48" s="237">
        <f t="shared" si="13"/>
        <v>1154.0900000000001</v>
      </c>
      <c r="D48" s="237">
        <f t="shared" si="13"/>
        <v>2044.54</v>
      </c>
      <c r="E48" s="237">
        <f t="shared" si="13"/>
        <v>939.16</v>
      </c>
      <c r="F48" s="237">
        <f t="shared" si="13"/>
        <v>379.68</v>
      </c>
      <c r="G48" s="237">
        <f t="shared" si="13"/>
        <v>251.92</v>
      </c>
      <c r="H48" s="237">
        <f t="shared" si="13"/>
        <v>208.48000000000002</v>
      </c>
      <c r="I48" s="237">
        <f t="shared" si="4"/>
        <v>5412.49</v>
      </c>
    </row>
    <row r="49" spans="1:9">
      <c r="A49" s="234" t="s">
        <v>66</v>
      </c>
      <c r="B49" s="235"/>
      <c r="C49" s="235"/>
      <c r="D49" s="235"/>
      <c r="E49" s="235"/>
      <c r="F49" s="235"/>
      <c r="G49" s="235"/>
      <c r="H49" s="235"/>
      <c r="I49" s="236">
        <f t="shared" si="4"/>
        <v>0</v>
      </c>
    </row>
    <row r="50" spans="1:9">
      <c r="A50" s="234" t="s">
        <v>67</v>
      </c>
      <c r="B50" s="235"/>
      <c r="C50" s="235"/>
      <c r="D50" s="235"/>
      <c r="E50" s="236">
        <f>26.49</f>
        <v>26.49</v>
      </c>
      <c r="F50" s="235"/>
      <c r="G50" s="235"/>
      <c r="H50" s="235"/>
      <c r="I50" s="236">
        <f t="shared" si="4"/>
        <v>26.49</v>
      </c>
    </row>
    <row r="51" spans="1:9">
      <c r="A51" s="234" t="s">
        <v>68</v>
      </c>
      <c r="B51" s="236">
        <f>8050</f>
        <v>8050</v>
      </c>
      <c r="C51" s="236">
        <f>45423.38</f>
        <v>45423.38</v>
      </c>
      <c r="D51" s="235"/>
      <c r="E51" s="236">
        <f>2000</f>
        <v>2000</v>
      </c>
      <c r="F51" s="235"/>
      <c r="G51" s="235"/>
      <c r="H51" s="235"/>
      <c r="I51" s="236">
        <f t="shared" si="4"/>
        <v>55473.38</v>
      </c>
    </row>
    <row r="52" spans="1:9">
      <c r="A52" s="234" t="s">
        <v>69</v>
      </c>
      <c r="B52" s="236">
        <f>609.85</f>
        <v>609.85</v>
      </c>
      <c r="C52" s="236">
        <f>235</f>
        <v>235</v>
      </c>
      <c r="D52" s="236">
        <f>799.58</f>
        <v>799.58</v>
      </c>
      <c r="E52" s="235"/>
      <c r="F52" s="236">
        <f>250</f>
        <v>250</v>
      </c>
      <c r="G52" s="235"/>
      <c r="H52" s="236">
        <f>205</f>
        <v>205</v>
      </c>
      <c r="I52" s="236">
        <f t="shared" si="4"/>
        <v>2099.4300000000003</v>
      </c>
    </row>
    <row r="53" spans="1:9">
      <c r="A53" s="234" t="s">
        <v>70</v>
      </c>
      <c r="B53" s="235"/>
      <c r="C53" s="236">
        <f>0</f>
        <v>0</v>
      </c>
      <c r="D53" s="236">
        <f>6</f>
        <v>6</v>
      </c>
      <c r="E53" s="236">
        <f>709.2</f>
        <v>709.2</v>
      </c>
      <c r="F53" s="235"/>
      <c r="G53" s="235"/>
      <c r="H53" s="236">
        <f>0</f>
        <v>0</v>
      </c>
      <c r="I53" s="236">
        <f t="shared" si="4"/>
        <v>715.2</v>
      </c>
    </row>
    <row r="54" spans="1:9">
      <c r="A54" s="234" t="s">
        <v>71</v>
      </c>
      <c r="B54" s="237">
        <f t="shared" ref="B54:H54" si="14">((((B49)+(B50))+(B51))+(B52))+(B53)</f>
        <v>8659.85</v>
      </c>
      <c r="C54" s="237">
        <f t="shared" si="14"/>
        <v>45658.38</v>
      </c>
      <c r="D54" s="237">
        <f t="shared" si="14"/>
        <v>805.58</v>
      </c>
      <c r="E54" s="237">
        <f t="shared" si="14"/>
        <v>2735.69</v>
      </c>
      <c r="F54" s="237">
        <f t="shared" si="14"/>
        <v>250</v>
      </c>
      <c r="G54" s="237">
        <f t="shared" si="14"/>
        <v>0</v>
      </c>
      <c r="H54" s="237">
        <f t="shared" si="14"/>
        <v>205</v>
      </c>
      <c r="I54" s="237">
        <f t="shared" si="4"/>
        <v>58314.5</v>
      </c>
    </row>
    <row r="55" spans="1:9">
      <c r="A55" s="234" t="s">
        <v>72</v>
      </c>
      <c r="B55" s="235"/>
      <c r="C55" s="235"/>
      <c r="D55" s="235"/>
      <c r="E55" s="235"/>
      <c r="F55" s="235"/>
      <c r="G55" s="235"/>
      <c r="H55" s="235"/>
      <c r="I55" s="236">
        <f t="shared" si="4"/>
        <v>0</v>
      </c>
    </row>
    <row r="56" spans="1:9">
      <c r="A56" s="234" t="s">
        <v>303</v>
      </c>
      <c r="B56" s="235"/>
      <c r="C56" s="235"/>
      <c r="D56" s="235"/>
      <c r="E56" s="235"/>
      <c r="F56" s="235"/>
      <c r="G56" s="235"/>
      <c r="H56" s="235"/>
      <c r="I56" s="236">
        <f t="shared" si="4"/>
        <v>0</v>
      </c>
    </row>
    <row r="57" spans="1:9">
      <c r="A57" s="234" t="s">
        <v>74</v>
      </c>
      <c r="B57" s="236">
        <f>115.83</f>
        <v>115.83</v>
      </c>
      <c r="C57" s="236">
        <f>115.83</f>
        <v>115.83</v>
      </c>
      <c r="D57" s="236">
        <f>215.83</f>
        <v>215.83</v>
      </c>
      <c r="E57" s="236">
        <f>115.83</f>
        <v>115.83</v>
      </c>
      <c r="F57" s="236">
        <f>115.83</f>
        <v>115.83</v>
      </c>
      <c r="G57" s="236">
        <f>119.31</f>
        <v>119.31</v>
      </c>
      <c r="H57" s="236">
        <f>119.31</f>
        <v>119.31</v>
      </c>
      <c r="I57" s="236">
        <f t="shared" si="4"/>
        <v>917.77</v>
      </c>
    </row>
    <row r="58" spans="1:9">
      <c r="A58" s="234" t="s">
        <v>76</v>
      </c>
      <c r="B58" s="235"/>
      <c r="C58" s="236">
        <f>589.44</f>
        <v>589.44000000000005</v>
      </c>
      <c r="D58" s="236">
        <f>0</f>
        <v>0</v>
      </c>
      <c r="E58" s="235"/>
      <c r="F58" s="236">
        <f>43.1</f>
        <v>43.1</v>
      </c>
      <c r="G58" s="235"/>
      <c r="H58" s="235"/>
      <c r="I58" s="236">
        <f t="shared" si="4"/>
        <v>632.54000000000008</v>
      </c>
    </row>
    <row r="59" spans="1:9">
      <c r="A59" s="234" t="s">
        <v>304</v>
      </c>
      <c r="B59" s="237">
        <f t="shared" ref="B59:H59" si="15">((B56)+(B57))+(B58)</f>
        <v>115.83</v>
      </c>
      <c r="C59" s="237">
        <f t="shared" si="15"/>
        <v>705.2700000000001</v>
      </c>
      <c r="D59" s="237">
        <f t="shared" si="15"/>
        <v>215.83</v>
      </c>
      <c r="E59" s="237">
        <f t="shared" si="15"/>
        <v>115.83</v>
      </c>
      <c r="F59" s="237">
        <f t="shared" si="15"/>
        <v>158.93</v>
      </c>
      <c r="G59" s="237">
        <f t="shared" si="15"/>
        <v>119.31</v>
      </c>
      <c r="H59" s="237">
        <f t="shared" si="15"/>
        <v>119.31</v>
      </c>
      <c r="I59" s="237">
        <f t="shared" si="4"/>
        <v>1550.31</v>
      </c>
    </row>
    <row r="60" spans="1:9">
      <c r="A60" s="234" t="s">
        <v>305</v>
      </c>
      <c r="B60" s="235"/>
      <c r="C60" s="235"/>
      <c r="D60" s="235"/>
      <c r="E60" s="235"/>
      <c r="F60" s="235"/>
      <c r="G60" s="235"/>
      <c r="H60" s="235"/>
      <c r="I60" s="236">
        <f t="shared" si="4"/>
        <v>0</v>
      </c>
    </row>
    <row r="61" spans="1:9">
      <c r="A61" s="234" t="s">
        <v>78</v>
      </c>
      <c r="B61" s="235"/>
      <c r="C61" s="235"/>
      <c r="D61" s="235"/>
      <c r="E61" s="235"/>
      <c r="F61" s="236">
        <f>110.78</f>
        <v>110.78</v>
      </c>
      <c r="G61" s="235"/>
      <c r="H61" s="235"/>
      <c r="I61" s="236">
        <f t="shared" si="4"/>
        <v>110.78</v>
      </c>
    </row>
    <row r="62" spans="1:9">
      <c r="A62" s="234" t="s">
        <v>306</v>
      </c>
      <c r="B62" s="235"/>
      <c r="C62" s="235"/>
      <c r="D62" s="235"/>
      <c r="E62" s="236">
        <f>430.92</f>
        <v>430.92</v>
      </c>
      <c r="F62" s="235"/>
      <c r="G62" s="235"/>
      <c r="H62" s="235"/>
      <c r="I62" s="236">
        <f t="shared" si="4"/>
        <v>430.92</v>
      </c>
    </row>
    <row r="63" spans="1:9">
      <c r="A63" s="234" t="s">
        <v>307</v>
      </c>
      <c r="B63" s="237">
        <f t="shared" ref="B63:H63" si="16">((B60)+(B61))+(B62)</f>
        <v>0</v>
      </c>
      <c r="C63" s="237">
        <f t="shared" si="16"/>
        <v>0</v>
      </c>
      <c r="D63" s="237">
        <f t="shared" si="16"/>
        <v>0</v>
      </c>
      <c r="E63" s="237">
        <f t="shared" si="16"/>
        <v>430.92</v>
      </c>
      <c r="F63" s="237">
        <f t="shared" si="16"/>
        <v>110.78</v>
      </c>
      <c r="G63" s="237">
        <f t="shared" si="16"/>
        <v>0</v>
      </c>
      <c r="H63" s="237">
        <f t="shared" si="16"/>
        <v>0</v>
      </c>
      <c r="I63" s="237">
        <f t="shared" si="4"/>
        <v>541.70000000000005</v>
      </c>
    </row>
    <row r="64" spans="1:9">
      <c r="A64" s="234" t="s">
        <v>79</v>
      </c>
      <c r="B64" s="235"/>
      <c r="C64" s="235"/>
      <c r="D64" s="235"/>
      <c r="E64" s="235"/>
      <c r="F64" s="235"/>
      <c r="G64" s="235"/>
      <c r="H64" s="235"/>
      <c r="I64" s="236">
        <f t="shared" si="4"/>
        <v>0</v>
      </c>
    </row>
    <row r="65" spans="1:9">
      <c r="A65" s="234" t="s">
        <v>81</v>
      </c>
      <c r="B65" s="235"/>
      <c r="C65" s="235"/>
      <c r="D65" s="236">
        <f>155</f>
        <v>155</v>
      </c>
      <c r="E65" s="235"/>
      <c r="F65" s="235"/>
      <c r="G65" s="235"/>
      <c r="H65" s="235"/>
      <c r="I65" s="236">
        <f t="shared" si="4"/>
        <v>155</v>
      </c>
    </row>
    <row r="66" spans="1:9">
      <c r="A66" s="234" t="s">
        <v>83</v>
      </c>
      <c r="B66" s="237">
        <f t="shared" ref="B66:H66" si="17">(B64)+(B65)</f>
        <v>0</v>
      </c>
      <c r="C66" s="237">
        <f t="shared" si="17"/>
        <v>0</v>
      </c>
      <c r="D66" s="237">
        <f t="shared" si="17"/>
        <v>155</v>
      </c>
      <c r="E66" s="237">
        <f t="shared" si="17"/>
        <v>0</v>
      </c>
      <c r="F66" s="237">
        <f t="shared" si="17"/>
        <v>0</v>
      </c>
      <c r="G66" s="237">
        <f t="shared" si="17"/>
        <v>0</v>
      </c>
      <c r="H66" s="237">
        <f t="shared" si="17"/>
        <v>0</v>
      </c>
      <c r="I66" s="237">
        <f t="shared" si="4"/>
        <v>155</v>
      </c>
    </row>
    <row r="67" spans="1:9">
      <c r="A67" s="234" t="s">
        <v>311</v>
      </c>
      <c r="B67" s="235"/>
      <c r="C67" s="235"/>
      <c r="D67" s="235"/>
      <c r="E67" s="235"/>
      <c r="F67" s="235"/>
      <c r="G67" s="235"/>
      <c r="H67" s="235"/>
      <c r="I67" s="236">
        <f t="shared" si="4"/>
        <v>0</v>
      </c>
    </row>
    <row r="68" spans="1:9">
      <c r="A68" s="234" t="s">
        <v>86</v>
      </c>
      <c r="B68" s="235"/>
      <c r="C68" s="235"/>
      <c r="D68" s="235"/>
      <c r="E68" s="235"/>
      <c r="F68" s="236">
        <f>150</f>
        <v>150</v>
      </c>
      <c r="G68" s="235"/>
      <c r="H68" s="235"/>
      <c r="I68" s="236">
        <f t="shared" si="4"/>
        <v>150</v>
      </c>
    </row>
    <row r="69" spans="1:9">
      <c r="A69" s="234" t="s">
        <v>87</v>
      </c>
      <c r="B69" s="235"/>
      <c r="C69" s="236">
        <f>2786.34</f>
        <v>2786.34</v>
      </c>
      <c r="D69" s="236">
        <f>284</f>
        <v>284</v>
      </c>
      <c r="E69" s="235"/>
      <c r="F69" s="235"/>
      <c r="G69" s="236">
        <f>2787.79</f>
        <v>2787.79</v>
      </c>
      <c r="H69" s="235"/>
      <c r="I69" s="236">
        <f t="shared" si="4"/>
        <v>5858.13</v>
      </c>
    </row>
    <row r="70" spans="1:9">
      <c r="A70" s="234" t="s">
        <v>88</v>
      </c>
      <c r="B70" s="235"/>
      <c r="C70" s="235"/>
      <c r="D70" s="235"/>
      <c r="E70" s="235"/>
      <c r="F70" s="236">
        <f>65.1</f>
        <v>65.099999999999994</v>
      </c>
      <c r="G70" s="235"/>
      <c r="H70" s="235"/>
      <c r="I70" s="236">
        <f t="shared" si="4"/>
        <v>65.099999999999994</v>
      </c>
    </row>
    <row r="71" spans="1:9">
      <c r="A71" s="234" t="s">
        <v>313</v>
      </c>
      <c r="B71" s="237">
        <f t="shared" ref="B71:H71" si="18">(((B67)+(B68))+(B69))+(B70)</f>
        <v>0</v>
      </c>
      <c r="C71" s="237">
        <f t="shared" si="18"/>
        <v>2786.34</v>
      </c>
      <c r="D71" s="237">
        <f t="shared" si="18"/>
        <v>284</v>
      </c>
      <c r="E71" s="237">
        <f t="shared" si="18"/>
        <v>0</v>
      </c>
      <c r="F71" s="237">
        <f t="shared" si="18"/>
        <v>215.1</v>
      </c>
      <c r="G71" s="237">
        <f t="shared" si="18"/>
        <v>2787.79</v>
      </c>
      <c r="H71" s="237">
        <f t="shared" si="18"/>
        <v>0</v>
      </c>
      <c r="I71" s="237">
        <f t="shared" si="4"/>
        <v>6073.23</v>
      </c>
    </row>
    <row r="72" spans="1:9">
      <c r="A72" s="234" t="s">
        <v>89</v>
      </c>
      <c r="B72" s="237">
        <f t="shared" ref="B72:H72" si="19">((((B55)+(B59))+(B63))+(B66))+(B71)</f>
        <v>115.83</v>
      </c>
      <c r="C72" s="237">
        <f t="shared" si="19"/>
        <v>3491.61</v>
      </c>
      <c r="D72" s="237">
        <f t="shared" si="19"/>
        <v>654.83000000000004</v>
      </c>
      <c r="E72" s="237">
        <f t="shared" si="19"/>
        <v>546.75</v>
      </c>
      <c r="F72" s="237">
        <f t="shared" si="19"/>
        <v>484.81000000000006</v>
      </c>
      <c r="G72" s="237">
        <f t="shared" si="19"/>
        <v>2907.1</v>
      </c>
      <c r="H72" s="237">
        <f t="shared" si="19"/>
        <v>119.31</v>
      </c>
      <c r="I72" s="237">
        <f t="shared" si="4"/>
        <v>8320.24</v>
      </c>
    </row>
    <row r="73" spans="1:9">
      <c r="A73" s="234" t="s">
        <v>90</v>
      </c>
      <c r="B73" s="235"/>
      <c r="C73" s="235"/>
      <c r="D73" s="235"/>
      <c r="E73" s="235"/>
      <c r="F73" s="235"/>
      <c r="G73" s="235"/>
      <c r="H73" s="235"/>
      <c r="I73" s="236">
        <f t="shared" si="4"/>
        <v>0</v>
      </c>
    </row>
    <row r="74" spans="1:9">
      <c r="A74" s="234" t="s">
        <v>91</v>
      </c>
      <c r="B74" s="236">
        <f>28.88</f>
        <v>28.88</v>
      </c>
      <c r="C74" s="236">
        <f>59.88</f>
        <v>59.88</v>
      </c>
      <c r="D74" s="236">
        <f>176.21</f>
        <v>176.21</v>
      </c>
      <c r="E74" s="236">
        <f>109.18</f>
        <v>109.18</v>
      </c>
      <c r="F74" s="236">
        <f>34.18</f>
        <v>34.18</v>
      </c>
      <c r="G74" s="236">
        <f>32.98</f>
        <v>32.979999999999997</v>
      </c>
      <c r="H74" s="236">
        <f>12.99</f>
        <v>12.99</v>
      </c>
      <c r="I74" s="236">
        <f t="shared" si="4"/>
        <v>454.30000000000007</v>
      </c>
    </row>
    <row r="75" spans="1:9">
      <c r="A75" s="234" t="s">
        <v>314</v>
      </c>
      <c r="B75" s="236">
        <f>80</f>
        <v>80</v>
      </c>
      <c r="C75" s="235"/>
      <c r="D75" s="236">
        <f>390</f>
        <v>390</v>
      </c>
      <c r="E75" s="235"/>
      <c r="F75" s="236">
        <f>140</f>
        <v>140</v>
      </c>
      <c r="G75" s="235"/>
      <c r="H75" s="235"/>
      <c r="I75" s="236">
        <f t="shared" si="4"/>
        <v>610</v>
      </c>
    </row>
    <row r="76" spans="1:9">
      <c r="A76" s="234" t="s">
        <v>93</v>
      </c>
      <c r="B76" s="237">
        <f t="shared" ref="B76:H76" si="20">((B73)+(B74))+(B75)</f>
        <v>108.88</v>
      </c>
      <c r="C76" s="237">
        <f t="shared" si="20"/>
        <v>59.88</v>
      </c>
      <c r="D76" s="237">
        <f t="shared" si="20"/>
        <v>566.21</v>
      </c>
      <c r="E76" s="237">
        <f t="shared" si="20"/>
        <v>109.18</v>
      </c>
      <c r="F76" s="237">
        <f t="shared" si="20"/>
        <v>174.18</v>
      </c>
      <c r="G76" s="237">
        <f t="shared" si="20"/>
        <v>32.979999999999997</v>
      </c>
      <c r="H76" s="237">
        <f t="shared" si="20"/>
        <v>12.99</v>
      </c>
      <c r="I76" s="237">
        <f t="shared" si="4"/>
        <v>1064.3000000000002</v>
      </c>
    </row>
    <row r="77" spans="1:9">
      <c r="A77" s="234" t="s">
        <v>94</v>
      </c>
      <c r="B77" s="237">
        <f t="shared" ref="B77:H77" si="21">(((((B41)+(B44))+(B48))+(B54))+(B72))+(B76)</f>
        <v>9339.18</v>
      </c>
      <c r="C77" s="237">
        <f t="shared" si="21"/>
        <v>50363.96</v>
      </c>
      <c r="D77" s="237">
        <f t="shared" si="21"/>
        <v>4452.67</v>
      </c>
      <c r="E77" s="237">
        <f t="shared" si="21"/>
        <v>4448.76</v>
      </c>
      <c r="F77" s="237">
        <f t="shared" si="21"/>
        <v>1348.6700000000003</v>
      </c>
      <c r="G77" s="237">
        <f t="shared" si="21"/>
        <v>4694.1399999999994</v>
      </c>
      <c r="H77" s="237">
        <f t="shared" si="21"/>
        <v>545.78</v>
      </c>
      <c r="I77" s="237">
        <f t="shared" si="4"/>
        <v>75193.159999999989</v>
      </c>
    </row>
    <row r="78" spans="1:9">
      <c r="A78" s="234" t="s">
        <v>95</v>
      </c>
      <c r="B78" s="237">
        <f t="shared" ref="B78:H78" si="22">(B40)+(B77)</f>
        <v>80179.359999999986</v>
      </c>
      <c r="C78" s="237">
        <f t="shared" si="22"/>
        <v>123248.19</v>
      </c>
      <c r="D78" s="237">
        <f t="shared" si="22"/>
        <v>78888.890000000014</v>
      </c>
      <c r="E78" s="237">
        <f t="shared" si="22"/>
        <v>78120.659999999989</v>
      </c>
      <c r="F78" s="237">
        <f t="shared" si="22"/>
        <v>71574.37999999999</v>
      </c>
      <c r="G78" s="237">
        <f t="shared" si="22"/>
        <v>97650.560000000012</v>
      </c>
      <c r="H78" s="237">
        <f t="shared" si="22"/>
        <v>78471.849999999991</v>
      </c>
      <c r="I78" s="237">
        <f t="shared" si="4"/>
        <v>608133.89</v>
      </c>
    </row>
    <row r="79" spans="1:9">
      <c r="A79" s="234" t="s">
        <v>96</v>
      </c>
      <c r="B79" s="237">
        <f t="shared" ref="B79:H79" si="23">(B14)-(B78)</f>
        <v>-76007.989999999991</v>
      </c>
      <c r="C79" s="237">
        <f t="shared" si="23"/>
        <v>-115055.89</v>
      </c>
      <c r="D79" s="237">
        <f t="shared" si="23"/>
        <v>-451.77000000001863</v>
      </c>
      <c r="E79" s="237">
        <f t="shared" si="23"/>
        <v>75025.590000000011</v>
      </c>
      <c r="F79" s="237">
        <f t="shared" si="23"/>
        <v>75124.510000000024</v>
      </c>
      <c r="G79" s="237">
        <f t="shared" si="23"/>
        <v>142211.45999999996</v>
      </c>
      <c r="H79" s="237">
        <f t="shared" si="23"/>
        <v>-71635.599999999991</v>
      </c>
      <c r="I79" s="237">
        <f t="shared" si="4"/>
        <v>29210.309999999983</v>
      </c>
    </row>
    <row r="80" spans="1:9">
      <c r="A80" s="234" t="s">
        <v>97</v>
      </c>
      <c r="B80" s="235"/>
      <c r="C80" s="235"/>
      <c r="D80" s="235"/>
      <c r="E80" s="235"/>
      <c r="F80" s="235"/>
      <c r="G80" s="235"/>
      <c r="H80" s="235"/>
      <c r="I80" s="235"/>
    </row>
    <row r="81" spans="1:9">
      <c r="A81" s="234" t="s">
        <v>103</v>
      </c>
      <c r="B81" s="236">
        <f>13.4</f>
        <v>13.4</v>
      </c>
      <c r="C81" s="236">
        <f>37.97</f>
        <v>37.97</v>
      </c>
      <c r="D81" s="236">
        <f>179.24</f>
        <v>179.24</v>
      </c>
      <c r="E81" s="236">
        <f>279.29</f>
        <v>279.29000000000002</v>
      </c>
      <c r="F81" s="236">
        <f>370.73</f>
        <v>370.73</v>
      </c>
      <c r="G81" s="236">
        <f>421.89</f>
        <v>421.89</v>
      </c>
      <c r="H81" s="236">
        <f>437.4</f>
        <v>437.4</v>
      </c>
      <c r="I81" s="236">
        <f t="shared" ref="I81:I86" si="24">((((((B81)+(C81))+(D81))+(E81))+(F81))+(G81))+(H81)</f>
        <v>1739.92</v>
      </c>
    </row>
    <row r="82" spans="1:9">
      <c r="A82" s="234" t="s">
        <v>105</v>
      </c>
      <c r="B82" s="236">
        <f>1406.55</f>
        <v>1406.55</v>
      </c>
      <c r="C82" s="236">
        <f>1725.92</f>
        <v>1725.92</v>
      </c>
      <c r="D82" s="236">
        <f>1917.87</f>
        <v>1917.87</v>
      </c>
      <c r="E82" s="236">
        <f>2436.07</f>
        <v>2436.0700000000002</v>
      </c>
      <c r="F82" s="236">
        <f>2936.69</f>
        <v>2936.69</v>
      </c>
      <c r="G82" s="236">
        <f>3407.98</f>
        <v>3407.98</v>
      </c>
      <c r="H82" s="236">
        <f>3655.45</f>
        <v>3655.45</v>
      </c>
      <c r="I82" s="236">
        <f t="shared" si="24"/>
        <v>17486.53</v>
      </c>
    </row>
    <row r="83" spans="1:9">
      <c r="A83" s="234" t="s">
        <v>328</v>
      </c>
      <c r="B83" s="235"/>
      <c r="C83" s="235"/>
      <c r="D83" s="235"/>
      <c r="E83" s="235"/>
      <c r="F83" s="235"/>
      <c r="G83" s="236">
        <f>0.96</f>
        <v>0.96</v>
      </c>
      <c r="H83" s="235"/>
      <c r="I83" s="236">
        <f t="shared" si="24"/>
        <v>0.96</v>
      </c>
    </row>
    <row r="84" spans="1:9">
      <c r="A84" s="234" t="s">
        <v>98</v>
      </c>
      <c r="B84" s="237">
        <f t="shared" ref="B84:H84" si="25">((B81)+(B82))+(B83)</f>
        <v>1419.95</v>
      </c>
      <c r="C84" s="237">
        <f t="shared" si="25"/>
        <v>1763.89</v>
      </c>
      <c r="D84" s="237">
        <f t="shared" si="25"/>
        <v>2097.1099999999997</v>
      </c>
      <c r="E84" s="237">
        <f t="shared" si="25"/>
        <v>2715.36</v>
      </c>
      <c r="F84" s="237">
        <f t="shared" si="25"/>
        <v>3307.42</v>
      </c>
      <c r="G84" s="237">
        <f t="shared" si="25"/>
        <v>3830.83</v>
      </c>
      <c r="H84" s="237">
        <f t="shared" si="25"/>
        <v>4092.85</v>
      </c>
      <c r="I84" s="237">
        <f t="shared" si="24"/>
        <v>19227.41</v>
      </c>
    </row>
    <row r="85" spans="1:9">
      <c r="A85" s="234" t="s">
        <v>99</v>
      </c>
      <c r="B85" s="237">
        <f t="shared" ref="B85:H85" si="26">(B84)-(0)</f>
        <v>1419.95</v>
      </c>
      <c r="C85" s="237">
        <f t="shared" si="26"/>
        <v>1763.89</v>
      </c>
      <c r="D85" s="237">
        <f t="shared" si="26"/>
        <v>2097.1099999999997</v>
      </c>
      <c r="E85" s="237">
        <f t="shared" si="26"/>
        <v>2715.36</v>
      </c>
      <c r="F85" s="237">
        <f t="shared" si="26"/>
        <v>3307.42</v>
      </c>
      <c r="G85" s="237">
        <f t="shared" si="26"/>
        <v>3830.83</v>
      </c>
      <c r="H85" s="237">
        <f t="shared" si="26"/>
        <v>4092.85</v>
      </c>
      <c r="I85" s="237">
        <f t="shared" si="24"/>
        <v>19227.41</v>
      </c>
    </row>
    <row r="86" spans="1:9">
      <c r="A86" s="234" t="s">
        <v>100</v>
      </c>
      <c r="B86" s="237">
        <f t="shared" ref="B86:H86" si="27">(B79)+(B85)</f>
        <v>-74588.039999999994</v>
      </c>
      <c r="C86" s="237">
        <f t="shared" si="27"/>
        <v>-113292</v>
      </c>
      <c r="D86" s="237">
        <f t="shared" si="27"/>
        <v>1645.339999999981</v>
      </c>
      <c r="E86" s="237">
        <f t="shared" si="27"/>
        <v>77740.950000000012</v>
      </c>
      <c r="F86" s="237">
        <f t="shared" si="27"/>
        <v>78431.930000000022</v>
      </c>
      <c r="G86" s="237">
        <f t="shared" si="27"/>
        <v>146042.28999999995</v>
      </c>
      <c r="H86" s="237">
        <f t="shared" si="27"/>
        <v>-67542.749999999985</v>
      </c>
      <c r="I86" s="237">
        <f t="shared" si="24"/>
        <v>48437.719999999987</v>
      </c>
    </row>
    <row r="87" spans="1:9">
      <c r="A87" s="234"/>
      <c r="B87" s="235"/>
      <c r="C87" s="235"/>
      <c r="D87" s="235"/>
      <c r="E87" s="235"/>
      <c r="F87" s="235"/>
      <c r="G87" s="235"/>
      <c r="H87" s="235"/>
      <c r="I87" s="235"/>
    </row>
    <row r="90" spans="1:9">
      <c r="A90" s="246" t="s">
        <v>329</v>
      </c>
      <c r="B90" s="247"/>
      <c r="C90" s="247"/>
      <c r="D90" s="247"/>
      <c r="E90" s="247"/>
      <c r="F90" s="247"/>
      <c r="G90" s="247"/>
      <c r="H90" s="247"/>
      <c r="I90" s="247"/>
    </row>
  </sheetData>
  <mergeCells count="4">
    <mergeCell ref="A90:I90"/>
    <mergeCell ref="A1:I1"/>
    <mergeCell ref="A2:I2"/>
    <mergeCell ref="A3:I3"/>
  </mergeCells>
  <pageMargins left="0.25" right="0.25" top="0.75" bottom="0.75" header="0.3" footer="0.3"/>
  <pageSetup scale="82" fitToHeight="2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CE07-6643-0F47-AEA7-C3EBE0B34845}">
  <dimension ref="A1:Q1001"/>
  <sheetViews>
    <sheetView zoomScale="125" zoomScaleNormal="125" workbookViewId="0">
      <pane xSplit="1" topLeftCell="F1" activePane="topRight" state="frozen"/>
      <selection pane="topRight" activeCell="O28" sqref="O28"/>
    </sheetView>
  </sheetViews>
  <sheetFormatPr baseColWidth="10" defaultColWidth="12.6640625" defaultRowHeight="15" customHeight="1"/>
  <cols>
    <col min="1" max="1" width="48.6640625" customWidth="1"/>
    <col min="2" max="2" width="15.1640625" customWidth="1"/>
    <col min="3" max="4" width="11" customWidth="1"/>
    <col min="5" max="5" width="23.1640625" customWidth="1"/>
    <col min="6" max="6" width="17.83203125" style="218" customWidth="1"/>
    <col min="7" max="7" width="12.83203125" customWidth="1"/>
    <col min="8" max="8" width="8.1640625" customWidth="1"/>
    <col min="9" max="9" width="28.6640625" customWidth="1"/>
    <col min="10" max="10" width="27.6640625" customWidth="1"/>
  </cols>
  <sheetData>
    <row r="1" spans="1:17" ht="18" customHeight="1">
      <c r="A1" s="44" t="s">
        <v>114</v>
      </c>
      <c r="B1" s="45"/>
      <c r="D1" s="46"/>
      <c r="E1" s="47"/>
      <c r="G1" s="48"/>
      <c r="H1" s="49"/>
      <c r="I1" s="50"/>
      <c r="J1" s="51"/>
    </row>
    <row r="2" spans="1:17" ht="18" customHeight="1">
      <c r="A2" s="52" t="s">
        <v>115</v>
      </c>
      <c r="B2" s="53"/>
      <c r="C2" s="53"/>
      <c r="D2" s="54"/>
      <c r="E2" s="55"/>
      <c r="G2" s="48"/>
      <c r="H2" s="49"/>
      <c r="I2" s="50"/>
      <c r="J2" s="51"/>
    </row>
    <row r="3" spans="1:17" ht="1.5" customHeight="1" thickBot="1">
      <c r="A3" s="44"/>
      <c r="B3" s="56"/>
      <c r="C3" s="56"/>
      <c r="D3" s="46"/>
      <c r="E3" s="57"/>
      <c r="G3" s="48"/>
      <c r="H3" s="49"/>
      <c r="I3" s="50"/>
      <c r="J3" s="51"/>
    </row>
    <row r="4" spans="1:17" ht="42.75" customHeight="1" thickTop="1">
      <c r="A4" s="58"/>
      <c r="B4" s="59" t="s">
        <v>116</v>
      </c>
      <c r="C4" s="60" t="s">
        <v>117</v>
      </c>
      <c r="D4" s="60" t="s">
        <v>118</v>
      </c>
      <c r="E4" s="61" t="s">
        <v>119</v>
      </c>
      <c r="G4" s="62" t="s">
        <v>120</v>
      </c>
      <c r="H4" s="62" t="s">
        <v>121</v>
      </c>
      <c r="I4" s="63" t="s">
        <v>122</v>
      </c>
      <c r="J4" s="64" t="s">
        <v>123</v>
      </c>
    </row>
    <row r="5" spans="1:17" ht="24.75" customHeight="1">
      <c r="A5" s="65" t="s">
        <v>101</v>
      </c>
      <c r="B5" s="59"/>
      <c r="C5" s="60"/>
      <c r="D5" s="60"/>
      <c r="E5" s="66"/>
      <c r="G5" s="48"/>
      <c r="H5" s="49"/>
      <c r="I5" s="50"/>
      <c r="J5" s="51"/>
    </row>
    <row r="6" spans="1:17" ht="15.75" customHeight="1">
      <c r="A6" s="44" t="s">
        <v>107</v>
      </c>
      <c r="B6" s="56"/>
      <c r="C6" s="56"/>
      <c r="D6" s="46"/>
      <c r="E6" s="67"/>
      <c r="G6" s="48"/>
      <c r="H6" s="49"/>
      <c r="I6" s="50"/>
      <c r="J6" s="51"/>
    </row>
    <row r="7" spans="1:17" ht="33" customHeight="1">
      <c r="A7" s="68" t="s">
        <v>124</v>
      </c>
      <c r="B7" s="45"/>
      <c r="C7" s="69">
        <v>554000</v>
      </c>
      <c r="D7" s="70">
        <v>525750</v>
      </c>
      <c r="E7" s="71">
        <v>533708</v>
      </c>
      <c r="F7" s="218">
        <f>+E7/12</f>
        <v>44475.666666666664</v>
      </c>
      <c r="G7" s="72"/>
      <c r="H7" s="73"/>
      <c r="J7" s="74" t="s">
        <v>125</v>
      </c>
    </row>
    <row r="8" spans="1:17" ht="15.75" customHeight="1">
      <c r="A8" s="75" t="s">
        <v>126</v>
      </c>
      <c r="B8" s="76">
        <v>130500</v>
      </c>
      <c r="C8" s="77"/>
      <c r="D8" s="78"/>
      <c r="E8" s="79"/>
      <c r="F8" s="218">
        <f t="shared" ref="F8:F71" si="0">+E8/12</f>
        <v>0</v>
      </c>
      <c r="G8" s="48" t="s">
        <v>127</v>
      </c>
      <c r="H8" s="80" t="b">
        <v>1</v>
      </c>
      <c r="I8" s="50"/>
      <c r="J8" s="51"/>
    </row>
    <row r="9" spans="1:17" ht="15.75" customHeight="1">
      <c r="A9" s="75" t="s">
        <v>128</v>
      </c>
      <c r="B9" s="76">
        <v>362500</v>
      </c>
      <c r="C9" s="77"/>
      <c r="D9" s="78"/>
      <c r="E9" s="79"/>
      <c r="F9" s="218">
        <f t="shared" si="0"/>
        <v>0</v>
      </c>
      <c r="G9" s="48" t="s">
        <v>127</v>
      </c>
      <c r="H9" s="80" t="b">
        <v>1</v>
      </c>
      <c r="I9" s="50"/>
      <c r="J9" s="51"/>
    </row>
    <row r="10" spans="1:17" ht="15.75" customHeight="1">
      <c r="A10" s="81" t="s">
        <v>129</v>
      </c>
      <c r="B10" s="82">
        <v>493000</v>
      </c>
      <c r="C10" s="82">
        <v>554000</v>
      </c>
      <c r="D10" s="83">
        <v>525750</v>
      </c>
      <c r="E10" s="84">
        <v>533708</v>
      </c>
      <c r="F10" s="218">
        <f t="shared" si="0"/>
        <v>44475.666666666664</v>
      </c>
      <c r="G10" s="48"/>
      <c r="H10" s="80" t="b">
        <v>0</v>
      </c>
      <c r="I10" s="50"/>
      <c r="J10" s="51"/>
    </row>
    <row r="11" spans="1:17" ht="15.75" customHeight="1">
      <c r="A11" s="44" t="s">
        <v>130</v>
      </c>
      <c r="B11" s="76"/>
      <c r="C11" s="77"/>
      <c r="D11" s="77"/>
      <c r="E11" s="85"/>
      <c r="F11" s="218">
        <f t="shared" si="0"/>
        <v>0</v>
      </c>
      <c r="G11" s="48"/>
      <c r="H11" s="80" t="b">
        <v>0</v>
      </c>
      <c r="I11" s="50"/>
      <c r="J11" s="51"/>
    </row>
    <row r="12" spans="1:17" ht="15.75" customHeight="1">
      <c r="A12" s="68" t="s">
        <v>131</v>
      </c>
      <c r="B12" s="76">
        <v>11000</v>
      </c>
      <c r="C12" s="77">
        <v>1000</v>
      </c>
      <c r="D12" s="77">
        <v>114.65</v>
      </c>
      <c r="E12" s="85">
        <v>10470</v>
      </c>
      <c r="F12" s="218">
        <f t="shared" si="0"/>
        <v>872.5</v>
      </c>
      <c r="G12" s="48"/>
      <c r="H12" s="80" t="b">
        <v>0</v>
      </c>
      <c r="I12" s="86" t="s">
        <v>132</v>
      </c>
      <c r="J12" s="51"/>
    </row>
    <row r="13" spans="1:17" ht="15.75" customHeight="1">
      <c r="A13" s="87" t="s">
        <v>133</v>
      </c>
      <c r="B13" s="76"/>
      <c r="C13" s="77">
        <v>1750</v>
      </c>
      <c r="D13" s="88"/>
      <c r="E13" s="89"/>
      <c r="F13" s="218">
        <f t="shared" si="0"/>
        <v>0</v>
      </c>
      <c r="G13" s="48" t="s">
        <v>134</v>
      </c>
      <c r="H13" s="80" t="b">
        <v>0</v>
      </c>
      <c r="I13" s="50"/>
      <c r="J13" s="51"/>
    </row>
    <row r="14" spans="1:17" ht="15.75" customHeight="1">
      <c r="A14" s="68" t="s">
        <v>135</v>
      </c>
      <c r="B14" s="76">
        <v>36969</v>
      </c>
      <c r="C14" s="77">
        <v>50000</v>
      </c>
      <c r="D14" s="90">
        <v>41641.14</v>
      </c>
      <c r="E14" s="91">
        <v>36969</v>
      </c>
      <c r="F14" s="218">
        <f t="shared" si="0"/>
        <v>3080.75</v>
      </c>
      <c r="G14" s="48"/>
      <c r="H14" s="80" t="b">
        <v>0</v>
      </c>
      <c r="I14" s="92" t="s">
        <v>136</v>
      </c>
      <c r="J14" s="51"/>
      <c r="O14" s="221"/>
      <c r="Q14" s="42"/>
    </row>
    <row r="15" spans="1:17" ht="15.75" customHeight="1">
      <c r="A15" s="68" t="s">
        <v>137</v>
      </c>
      <c r="B15" s="76">
        <v>60000</v>
      </c>
      <c r="C15" s="77">
        <v>60000</v>
      </c>
      <c r="D15" s="90">
        <v>45667.5</v>
      </c>
      <c r="E15" s="91">
        <v>57245</v>
      </c>
      <c r="F15" s="218">
        <f t="shared" si="0"/>
        <v>4770.416666666667</v>
      </c>
      <c r="G15" s="48"/>
      <c r="H15" s="80" t="b">
        <v>0</v>
      </c>
      <c r="I15" s="50"/>
      <c r="J15" s="51"/>
    </row>
    <row r="16" spans="1:17" ht="15.75" customHeight="1">
      <c r="A16" s="68" t="s">
        <v>138</v>
      </c>
      <c r="B16" s="76">
        <v>15000</v>
      </c>
      <c r="C16" s="77">
        <v>45000</v>
      </c>
      <c r="D16" s="93">
        <v>10700</v>
      </c>
      <c r="E16" s="91">
        <v>13260</v>
      </c>
      <c r="F16" s="218">
        <f t="shared" si="0"/>
        <v>1105</v>
      </c>
      <c r="G16" s="48"/>
      <c r="H16" s="80" t="b">
        <v>0</v>
      </c>
      <c r="I16" s="50"/>
      <c r="J16" s="51"/>
    </row>
    <row r="17" spans="1:10" ht="15.75" customHeight="1">
      <c r="A17" s="87" t="s">
        <v>139</v>
      </c>
      <c r="B17" s="76"/>
      <c r="C17" s="77">
        <v>1000</v>
      </c>
      <c r="D17" s="88">
        <v>871.94</v>
      </c>
      <c r="E17" s="89"/>
      <c r="F17" s="218">
        <f t="shared" si="0"/>
        <v>0</v>
      </c>
      <c r="G17" s="48" t="s">
        <v>134</v>
      </c>
      <c r="H17" s="80" t="b">
        <v>0</v>
      </c>
      <c r="I17" s="50"/>
      <c r="J17" s="50" t="s">
        <v>140</v>
      </c>
    </row>
    <row r="18" spans="1:10" ht="15.75" customHeight="1">
      <c r="A18" s="81" t="s">
        <v>141</v>
      </c>
      <c r="B18" s="82">
        <v>122969</v>
      </c>
      <c r="C18" s="82">
        <v>158750</v>
      </c>
      <c r="D18" s="82">
        <v>98995</v>
      </c>
      <c r="E18" s="84">
        <v>117944</v>
      </c>
      <c r="F18" s="218">
        <f>+E18/12</f>
        <v>9828.6666666666661</v>
      </c>
      <c r="G18" s="222"/>
      <c r="H18" s="80"/>
      <c r="I18" s="50"/>
      <c r="J18" s="64"/>
    </row>
    <row r="19" spans="1:10" ht="15.75" customHeight="1">
      <c r="A19" s="44" t="s">
        <v>97</v>
      </c>
      <c r="B19" s="76"/>
      <c r="C19" s="76"/>
      <c r="D19" s="56"/>
      <c r="E19" s="94"/>
      <c r="F19" s="218">
        <f t="shared" si="0"/>
        <v>0</v>
      </c>
      <c r="G19" s="48"/>
      <c r="H19" s="80"/>
      <c r="I19" s="50"/>
      <c r="J19" s="64"/>
    </row>
    <row r="20" spans="1:10" ht="15.75" customHeight="1">
      <c r="A20" s="68" t="s">
        <v>142</v>
      </c>
      <c r="B20" s="76"/>
      <c r="C20" s="77">
        <v>0</v>
      </c>
      <c r="D20" s="95"/>
      <c r="E20" s="96">
        <v>0</v>
      </c>
      <c r="F20" s="218">
        <f t="shared" si="0"/>
        <v>0</v>
      </c>
      <c r="G20" s="48" t="s">
        <v>127</v>
      </c>
      <c r="H20" s="80" t="b">
        <v>0</v>
      </c>
      <c r="I20" s="50" t="s">
        <v>143</v>
      </c>
      <c r="J20" s="51"/>
    </row>
    <row r="21" spans="1:10" ht="15.75" customHeight="1">
      <c r="A21" s="68" t="s">
        <v>144</v>
      </c>
      <c r="B21" s="76">
        <v>0</v>
      </c>
      <c r="C21" s="77">
        <v>740</v>
      </c>
      <c r="D21" s="95">
        <v>1266</v>
      </c>
      <c r="E21" s="96">
        <v>0</v>
      </c>
      <c r="F21" s="218">
        <f t="shared" si="0"/>
        <v>0</v>
      </c>
      <c r="G21" s="48"/>
      <c r="H21" s="80" t="b">
        <v>0</v>
      </c>
      <c r="I21" s="50"/>
      <c r="J21" s="51"/>
    </row>
    <row r="22" spans="1:10" ht="36" customHeight="1">
      <c r="A22" s="46" t="s">
        <v>145</v>
      </c>
      <c r="B22" s="76">
        <v>13601.598569999998</v>
      </c>
      <c r="C22" s="77">
        <v>30000</v>
      </c>
      <c r="D22" s="77">
        <v>3155.36</v>
      </c>
      <c r="E22" s="85">
        <v>10563</v>
      </c>
      <c r="F22" s="218">
        <f t="shared" si="0"/>
        <v>880.25</v>
      </c>
      <c r="G22" s="97" t="s">
        <v>146</v>
      </c>
      <c r="H22" s="73" t="b">
        <v>0</v>
      </c>
      <c r="I22" s="51" t="s">
        <v>147</v>
      </c>
      <c r="J22" s="98" t="s">
        <v>148</v>
      </c>
    </row>
    <row r="23" spans="1:10" ht="15.75" customHeight="1">
      <c r="A23" s="81" t="s">
        <v>98</v>
      </c>
      <c r="B23" s="82">
        <v>13601.598569999998</v>
      </c>
      <c r="C23" s="82">
        <v>30740</v>
      </c>
      <c r="D23" s="99">
        <v>4421.3599999999997</v>
      </c>
      <c r="E23" s="84">
        <v>10563</v>
      </c>
      <c r="F23" s="218">
        <f t="shared" si="0"/>
        <v>880.25</v>
      </c>
      <c r="G23" s="222">
        <f>+F10+F18+F22</f>
        <v>55184.583333333328</v>
      </c>
      <c r="H23" s="80"/>
      <c r="I23" s="50"/>
      <c r="J23" s="50" t="s">
        <v>149</v>
      </c>
    </row>
    <row r="24" spans="1:10" ht="15.75" customHeight="1">
      <c r="A24" s="100" t="s">
        <v>150</v>
      </c>
      <c r="B24" s="100">
        <v>300350.5</v>
      </c>
      <c r="C24" s="100">
        <v>600701</v>
      </c>
      <c r="D24" s="101">
        <v>600701</v>
      </c>
      <c r="E24" s="102">
        <v>300351</v>
      </c>
      <c r="F24" s="218">
        <f t="shared" si="0"/>
        <v>25029.25</v>
      </c>
      <c r="G24" s="48">
        <v>54305</v>
      </c>
      <c r="H24" s="223"/>
      <c r="I24" s="50"/>
      <c r="J24" s="64"/>
    </row>
    <row r="25" spans="1:10" ht="15.75" customHeight="1">
      <c r="A25" s="103" t="s">
        <v>151</v>
      </c>
      <c r="B25" s="104">
        <v>929921.09857000003</v>
      </c>
      <c r="C25" s="104">
        <v>1344191</v>
      </c>
      <c r="D25" s="104">
        <v>1229867</v>
      </c>
      <c r="E25" s="105">
        <v>962566</v>
      </c>
      <c r="F25" s="218">
        <f>+E25/12</f>
        <v>80213.833333333328</v>
      </c>
      <c r="G25" s="219">
        <f>+G24-G23</f>
        <v>-879.58333333332848</v>
      </c>
      <c r="H25" s="80"/>
      <c r="I25" s="106">
        <f>E10+E18+E23+E24</f>
        <v>962566</v>
      </c>
      <c r="J25" s="64"/>
    </row>
    <row r="26" spans="1:10" ht="15.75" customHeight="1" thickBot="1">
      <c r="A26" s="107"/>
      <c r="B26" s="108"/>
      <c r="C26" s="108"/>
      <c r="D26" s="108"/>
      <c r="E26" s="109"/>
      <c r="F26" s="218">
        <f t="shared" si="0"/>
        <v>0</v>
      </c>
      <c r="G26" s="48"/>
      <c r="H26" s="80"/>
      <c r="I26" s="50"/>
      <c r="J26" s="64"/>
    </row>
    <row r="27" spans="1:10" ht="15.75" customHeight="1" thickTop="1">
      <c r="A27" s="110" t="s">
        <v>102</v>
      </c>
      <c r="B27" s="111"/>
      <c r="C27" s="111"/>
      <c r="D27" s="111"/>
      <c r="E27" s="112"/>
      <c r="F27" s="218">
        <f t="shared" si="0"/>
        <v>0</v>
      </c>
      <c r="G27" s="48"/>
      <c r="H27" s="80"/>
      <c r="I27" s="50"/>
      <c r="J27" s="64"/>
    </row>
    <row r="28" spans="1:10" ht="31.5" customHeight="1">
      <c r="A28" s="113" t="s">
        <v>152</v>
      </c>
      <c r="B28" s="114" t="s">
        <v>108</v>
      </c>
      <c r="C28" s="114"/>
      <c r="D28" s="114"/>
      <c r="E28" s="115"/>
      <c r="F28" s="218">
        <f t="shared" si="0"/>
        <v>0</v>
      </c>
      <c r="G28" s="48"/>
      <c r="H28" s="80"/>
      <c r="I28" s="50"/>
      <c r="J28" s="64"/>
    </row>
    <row r="29" spans="1:10" ht="15.75" customHeight="1">
      <c r="A29" s="44" t="s">
        <v>153</v>
      </c>
      <c r="B29" s="56"/>
      <c r="C29" s="56"/>
      <c r="D29" s="116"/>
      <c r="E29" s="117"/>
      <c r="F29" s="218">
        <f t="shared" si="0"/>
        <v>0</v>
      </c>
      <c r="G29" s="48"/>
      <c r="H29" s="80"/>
      <c r="I29" s="50"/>
      <c r="J29" s="64"/>
    </row>
    <row r="30" spans="1:10" ht="15.75" customHeight="1">
      <c r="A30" s="68" t="s">
        <v>154</v>
      </c>
      <c r="B30" s="95">
        <v>16000</v>
      </c>
      <c r="C30" s="95">
        <v>20000</v>
      </c>
      <c r="D30" s="118">
        <v>11376.25</v>
      </c>
      <c r="E30" s="79">
        <v>11500</v>
      </c>
      <c r="F30" s="218">
        <f t="shared" si="0"/>
        <v>958.33333333333337</v>
      </c>
      <c r="G30" s="48"/>
      <c r="H30" s="80" t="b">
        <v>0</v>
      </c>
      <c r="I30" s="50"/>
      <c r="J30" s="51"/>
    </row>
    <row r="31" spans="1:10" ht="15.75" customHeight="1">
      <c r="A31" s="68" t="s">
        <v>155</v>
      </c>
      <c r="B31" s="95">
        <v>1000</v>
      </c>
      <c r="C31" s="95">
        <v>1000</v>
      </c>
      <c r="D31" s="95">
        <v>330</v>
      </c>
      <c r="E31" s="96">
        <v>400</v>
      </c>
      <c r="F31" s="218">
        <f t="shared" si="0"/>
        <v>33.333333333333336</v>
      </c>
      <c r="G31" s="48"/>
      <c r="H31" s="80" t="b">
        <v>0</v>
      </c>
      <c r="I31" s="50" t="s">
        <v>156</v>
      </c>
      <c r="J31" s="51"/>
    </row>
    <row r="32" spans="1:10" ht="27" customHeight="1">
      <c r="A32" s="68" t="s">
        <v>157</v>
      </c>
      <c r="B32" s="95">
        <v>7692</v>
      </c>
      <c r="C32" s="95">
        <v>7692</v>
      </c>
      <c r="D32" s="95"/>
      <c r="E32" s="96">
        <v>7692</v>
      </c>
      <c r="F32" s="218">
        <f t="shared" si="0"/>
        <v>641</v>
      </c>
      <c r="G32" s="119" t="s">
        <v>127</v>
      </c>
      <c r="H32" s="80" t="b">
        <v>0</v>
      </c>
      <c r="I32" s="50" t="s">
        <v>158</v>
      </c>
      <c r="J32" s="58"/>
    </row>
    <row r="33" spans="1:10" ht="17.25" customHeight="1">
      <c r="A33" s="120" t="s">
        <v>159</v>
      </c>
      <c r="B33" s="121">
        <v>24692</v>
      </c>
      <c r="C33" s="121">
        <v>28692</v>
      </c>
      <c r="D33" s="121">
        <v>11706</v>
      </c>
      <c r="E33" s="122">
        <v>19592</v>
      </c>
      <c r="F33" s="218">
        <f t="shared" si="0"/>
        <v>1632.6666666666667</v>
      </c>
      <c r="G33" s="48"/>
      <c r="H33" s="80"/>
      <c r="I33" s="50"/>
      <c r="J33" s="64"/>
    </row>
    <row r="34" spans="1:10" ht="15.75" customHeight="1">
      <c r="B34" s="45"/>
      <c r="C34" s="118"/>
      <c r="E34" s="123"/>
      <c r="F34" s="218">
        <f t="shared" si="0"/>
        <v>0</v>
      </c>
      <c r="G34" s="124"/>
      <c r="H34" s="125"/>
      <c r="I34" s="50"/>
      <c r="J34" s="92"/>
    </row>
    <row r="35" spans="1:10" ht="15.75" customHeight="1">
      <c r="A35" s="44" t="s">
        <v>160</v>
      </c>
      <c r="B35" s="77"/>
      <c r="C35" s="77"/>
      <c r="D35" s="95"/>
      <c r="E35" s="96"/>
      <c r="F35" s="218">
        <f t="shared" si="0"/>
        <v>0</v>
      </c>
      <c r="G35" s="48"/>
      <c r="H35" s="80"/>
      <c r="I35" s="50"/>
      <c r="J35" s="51"/>
    </row>
    <row r="36" spans="1:10" ht="15.75" customHeight="1">
      <c r="A36" s="68" t="s">
        <v>161</v>
      </c>
      <c r="B36" s="77">
        <v>500</v>
      </c>
      <c r="C36" s="77">
        <v>1500</v>
      </c>
      <c r="D36" s="95">
        <v>1528.33</v>
      </c>
      <c r="E36" s="96">
        <v>500</v>
      </c>
      <c r="F36" s="218">
        <f t="shared" si="0"/>
        <v>41.666666666666664</v>
      </c>
      <c r="G36" s="48"/>
      <c r="H36" s="80" t="b">
        <v>0</v>
      </c>
      <c r="I36" s="50"/>
      <c r="J36" s="51"/>
    </row>
    <row r="37" spans="1:10" ht="23.25" customHeight="1">
      <c r="A37" s="68" t="s">
        <v>162</v>
      </c>
      <c r="B37" s="77">
        <v>11500</v>
      </c>
      <c r="C37" s="77">
        <v>10000</v>
      </c>
      <c r="D37" s="126">
        <v>9249</v>
      </c>
      <c r="E37" s="96">
        <v>10000</v>
      </c>
      <c r="F37" s="218">
        <f t="shared" si="0"/>
        <v>833.33333333333337</v>
      </c>
      <c r="G37" s="72"/>
      <c r="H37" s="73" t="b">
        <v>1</v>
      </c>
      <c r="I37" s="51" t="s">
        <v>163</v>
      </c>
      <c r="J37" s="51"/>
    </row>
    <row r="38" spans="1:10" ht="23.25" customHeight="1">
      <c r="A38" s="68" t="s">
        <v>164</v>
      </c>
      <c r="B38" s="77">
        <v>2000</v>
      </c>
      <c r="C38" s="77"/>
      <c r="D38" s="95"/>
      <c r="E38" s="96">
        <v>1000</v>
      </c>
      <c r="F38" s="218">
        <f t="shared" si="0"/>
        <v>83.333333333333329</v>
      </c>
      <c r="G38" s="72" t="s">
        <v>127</v>
      </c>
      <c r="H38" s="73" t="b">
        <v>1</v>
      </c>
      <c r="I38" s="51"/>
      <c r="J38" s="51"/>
    </row>
    <row r="39" spans="1:10" ht="15.75" customHeight="1">
      <c r="A39" s="120" t="s">
        <v>165</v>
      </c>
      <c r="B39" s="121">
        <v>14000</v>
      </c>
      <c r="C39" s="121">
        <v>11500</v>
      </c>
      <c r="D39" s="121">
        <v>10778</v>
      </c>
      <c r="E39" s="122">
        <v>11500</v>
      </c>
      <c r="F39" s="218">
        <f t="shared" si="0"/>
        <v>958.33333333333337</v>
      </c>
      <c r="G39" s="48"/>
      <c r="H39" s="80"/>
      <c r="I39" s="50"/>
      <c r="J39" s="64"/>
    </row>
    <row r="40" spans="1:10" ht="15.75" customHeight="1">
      <c r="A40" s="44" t="s">
        <v>166</v>
      </c>
      <c r="B40" s="95"/>
      <c r="C40" s="95"/>
      <c r="D40" s="77"/>
      <c r="E40" s="85"/>
      <c r="F40" s="218">
        <f t="shared" si="0"/>
        <v>0</v>
      </c>
      <c r="G40" s="48"/>
      <c r="H40" s="80"/>
      <c r="I40" s="50"/>
      <c r="J40" s="51"/>
    </row>
    <row r="41" spans="1:10" ht="15.75" customHeight="1">
      <c r="A41" s="68" t="s">
        <v>167</v>
      </c>
      <c r="B41" s="127">
        <v>26400</v>
      </c>
      <c r="C41" s="95">
        <v>21600</v>
      </c>
      <c r="D41" s="77">
        <v>16200</v>
      </c>
      <c r="E41" s="85">
        <v>20000</v>
      </c>
      <c r="F41" s="218">
        <f t="shared" si="0"/>
        <v>1666.6666666666667</v>
      </c>
      <c r="G41" s="48"/>
      <c r="H41" s="80" t="b">
        <v>0</v>
      </c>
      <c r="I41" s="50" t="s">
        <v>168</v>
      </c>
      <c r="J41" s="51"/>
    </row>
    <row r="42" spans="1:10" ht="15.75" customHeight="1">
      <c r="A42" s="68" t="s">
        <v>169</v>
      </c>
      <c r="B42" s="95">
        <v>2700</v>
      </c>
      <c r="C42" s="95">
        <v>4000</v>
      </c>
      <c r="D42" s="77">
        <v>3168</v>
      </c>
      <c r="E42" s="85">
        <v>1000</v>
      </c>
      <c r="F42" s="218">
        <f t="shared" si="0"/>
        <v>83.333333333333329</v>
      </c>
      <c r="G42" s="48"/>
      <c r="H42" s="80" t="b">
        <v>0</v>
      </c>
      <c r="I42" s="50" t="s">
        <v>170</v>
      </c>
      <c r="J42" s="51"/>
    </row>
    <row r="43" spans="1:10" ht="15.75" customHeight="1">
      <c r="A43" s="68" t="s">
        <v>171</v>
      </c>
      <c r="B43" s="128">
        <v>1000</v>
      </c>
      <c r="C43" s="77">
        <v>1500</v>
      </c>
      <c r="D43" s="77">
        <v>0</v>
      </c>
      <c r="E43" s="85">
        <v>0</v>
      </c>
      <c r="F43" s="218">
        <f t="shared" si="0"/>
        <v>0</v>
      </c>
      <c r="G43" s="48"/>
      <c r="H43" s="80" t="b">
        <v>0</v>
      </c>
      <c r="I43" s="50" t="s">
        <v>172</v>
      </c>
      <c r="J43" s="51"/>
    </row>
    <row r="44" spans="1:10" ht="15.75" customHeight="1">
      <c r="A44" s="120" t="s">
        <v>173</v>
      </c>
      <c r="B44" s="121">
        <v>30100</v>
      </c>
      <c r="C44" s="121">
        <v>27100</v>
      </c>
      <c r="D44" s="121">
        <v>19368</v>
      </c>
      <c r="E44" s="122">
        <v>21000</v>
      </c>
      <c r="F44" s="218">
        <f t="shared" si="0"/>
        <v>1750</v>
      </c>
      <c r="G44" s="48"/>
      <c r="H44" s="80"/>
      <c r="I44" s="50"/>
      <c r="J44" s="64"/>
    </row>
    <row r="45" spans="1:10" ht="15.75" customHeight="1">
      <c r="A45" s="44" t="s">
        <v>174</v>
      </c>
      <c r="B45" s="77"/>
      <c r="C45" s="77"/>
      <c r="D45" s="77"/>
      <c r="E45" s="85"/>
      <c r="F45" s="218">
        <f t="shared" si="0"/>
        <v>0</v>
      </c>
      <c r="G45" s="48"/>
      <c r="H45" s="80"/>
      <c r="I45" s="50"/>
      <c r="J45" s="51"/>
    </row>
    <row r="46" spans="1:10" ht="15.75" customHeight="1">
      <c r="A46" s="68" t="s">
        <v>175</v>
      </c>
      <c r="B46" s="128">
        <v>3500</v>
      </c>
      <c r="C46" s="77">
        <v>4000</v>
      </c>
      <c r="D46" s="77">
        <v>1848</v>
      </c>
      <c r="E46" s="85">
        <v>1700</v>
      </c>
      <c r="F46" s="218">
        <f t="shared" si="0"/>
        <v>141.66666666666666</v>
      </c>
      <c r="G46" s="72"/>
      <c r="H46" s="73" t="b">
        <v>0</v>
      </c>
      <c r="I46" s="51" t="s">
        <v>176</v>
      </c>
      <c r="J46" s="51"/>
    </row>
    <row r="47" spans="1:10" ht="15.75" customHeight="1">
      <c r="A47" s="120" t="s">
        <v>177</v>
      </c>
      <c r="B47" s="121">
        <v>3500</v>
      </c>
      <c r="C47" s="121">
        <v>4000</v>
      </c>
      <c r="D47" s="121">
        <v>1848</v>
      </c>
      <c r="E47" s="122">
        <v>1700</v>
      </c>
      <c r="F47" s="218">
        <f t="shared" si="0"/>
        <v>141.66666666666666</v>
      </c>
      <c r="G47" s="48"/>
      <c r="H47" s="80"/>
      <c r="I47" s="50"/>
      <c r="J47" s="64"/>
    </row>
    <row r="48" spans="1:10" ht="15.75" customHeight="1">
      <c r="A48" s="44" t="s">
        <v>178</v>
      </c>
      <c r="B48" s="56"/>
      <c r="C48" s="56"/>
      <c r="D48" s="56"/>
      <c r="E48" s="94"/>
      <c r="F48" s="218">
        <f t="shared" si="0"/>
        <v>0</v>
      </c>
      <c r="G48" s="48"/>
      <c r="H48" s="80"/>
      <c r="I48" s="50"/>
      <c r="J48" s="64"/>
    </row>
    <row r="49" spans="1:10" ht="19.5" customHeight="1">
      <c r="A49" s="68" t="s">
        <v>179</v>
      </c>
      <c r="B49" s="76">
        <v>728505.6</v>
      </c>
      <c r="C49" s="77">
        <v>703600</v>
      </c>
      <c r="D49" s="77">
        <v>724889</v>
      </c>
      <c r="E49" s="85">
        <v>739132</v>
      </c>
      <c r="F49" s="218">
        <f t="shared" si="0"/>
        <v>61594.333333333336</v>
      </c>
      <c r="G49" s="72"/>
      <c r="H49" s="73" t="b">
        <v>0</v>
      </c>
      <c r="I49" s="51" t="s">
        <v>180</v>
      </c>
      <c r="J49" s="51"/>
    </row>
    <row r="50" spans="1:10" ht="19.5" customHeight="1">
      <c r="A50" s="68" t="s">
        <v>181</v>
      </c>
      <c r="B50" s="76">
        <v>65565.504000000001</v>
      </c>
      <c r="C50" s="77">
        <v>63324</v>
      </c>
      <c r="D50" s="77">
        <v>57317</v>
      </c>
      <c r="E50" s="85">
        <v>65566</v>
      </c>
      <c r="F50" s="218">
        <f t="shared" si="0"/>
        <v>5463.833333333333</v>
      </c>
      <c r="G50" s="72"/>
      <c r="H50" s="73" t="b">
        <v>0</v>
      </c>
      <c r="I50" s="51" t="s">
        <v>182</v>
      </c>
      <c r="J50" s="51" t="s">
        <v>183</v>
      </c>
    </row>
    <row r="51" spans="1:10" ht="15.75" customHeight="1">
      <c r="A51" s="68" t="s">
        <v>184</v>
      </c>
      <c r="B51" s="129">
        <v>82850.28</v>
      </c>
      <c r="C51" s="77">
        <v>70180</v>
      </c>
      <c r="D51" s="77">
        <v>64817</v>
      </c>
      <c r="E51" s="85">
        <v>82850</v>
      </c>
      <c r="F51" s="218">
        <f t="shared" si="0"/>
        <v>6904.166666666667</v>
      </c>
      <c r="G51" s="48"/>
      <c r="H51" s="80" t="b">
        <v>0</v>
      </c>
      <c r="I51" s="50" t="s">
        <v>185</v>
      </c>
      <c r="J51" s="51" t="s">
        <v>186</v>
      </c>
    </row>
    <row r="52" spans="1:10" ht="15.75" customHeight="1">
      <c r="A52" s="68" t="s">
        <v>187</v>
      </c>
      <c r="B52" s="77">
        <v>2000</v>
      </c>
      <c r="C52" s="77">
        <v>2000</v>
      </c>
      <c r="D52" s="77">
        <v>1192</v>
      </c>
      <c r="E52" s="85">
        <v>1500</v>
      </c>
      <c r="F52" s="218">
        <f t="shared" si="0"/>
        <v>125</v>
      </c>
      <c r="G52" s="48"/>
      <c r="H52" s="80" t="b">
        <v>0</v>
      </c>
      <c r="I52" s="50"/>
      <c r="J52" s="51"/>
    </row>
    <row r="53" spans="1:10" ht="15.75" customHeight="1">
      <c r="A53" s="68" t="s">
        <v>188</v>
      </c>
      <c r="B53" s="128">
        <v>2000</v>
      </c>
      <c r="C53" s="77">
        <v>1000</v>
      </c>
      <c r="D53" s="77">
        <v>1647</v>
      </c>
      <c r="E53" s="85">
        <v>250</v>
      </c>
      <c r="F53" s="218">
        <f t="shared" si="0"/>
        <v>20.833333333333332</v>
      </c>
      <c r="G53" s="48"/>
      <c r="H53" s="80" t="b">
        <v>0</v>
      </c>
      <c r="I53" s="50" t="s">
        <v>189</v>
      </c>
      <c r="J53" s="51"/>
    </row>
    <row r="54" spans="1:10" ht="15.75" customHeight="1">
      <c r="A54" s="120" t="s">
        <v>190</v>
      </c>
      <c r="B54" s="121">
        <v>880921.38399999996</v>
      </c>
      <c r="C54" s="121">
        <v>840104</v>
      </c>
      <c r="D54" s="121">
        <v>849862</v>
      </c>
      <c r="E54" s="122">
        <v>889298</v>
      </c>
      <c r="F54" s="218">
        <f t="shared" si="0"/>
        <v>74108.166666666672</v>
      </c>
      <c r="G54" s="48"/>
      <c r="H54" s="80"/>
      <c r="I54" s="50"/>
      <c r="J54" s="64"/>
    </row>
    <row r="55" spans="1:10" ht="15.75" customHeight="1">
      <c r="A55" s="130" t="s">
        <v>191</v>
      </c>
      <c r="B55" s="131">
        <v>953213.38399999996</v>
      </c>
      <c r="C55" s="131">
        <v>911396</v>
      </c>
      <c r="D55" s="131">
        <v>893562</v>
      </c>
      <c r="E55" s="132">
        <v>943090</v>
      </c>
      <c r="F55" s="218">
        <f t="shared" si="0"/>
        <v>78590.833333333328</v>
      </c>
      <c r="G55" s="48"/>
      <c r="H55" s="80"/>
      <c r="I55" s="50"/>
      <c r="J55" s="64"/>
    </row>
    <row r="56" spans="1:10" ht="15.75" customHeight="1">
      <c r="A56" s="133" t="s">
        <v>192</v>
      </c>
      <c r="B56" s="134"/>
      <c r="C56" s="134"/>
      <c r="D56" s="134"/>
      <c r="E56" s="135"/>
      <c r="F56" s="218">
        <f t="shared" si="0"/>
        <v>0</v>
      </c>
      <c r="G56" s="48"/>
      <c r="H56" s="80"/>
      <c r="I56" s="50"/>
      <c r="J56" s="64"/>
    </row>
    <row r="57" spans="1:10" ht="15.75" customHeight="1">
      <c r="A57" s="44" t="s">
        <v>193</v>
      </c>
      <c r="B57" s="76"/>
      <c r="C57" s="76"/>
      <c r="D57" s="76"/>
      <c r="E57" s="136"/>
      <c r="F57" s="218">
        <f t="shared" si="0"/>
        <v>0</v>
      </c>
      <c r="G57" s="48"/>
      <c r="H57" s="80"/>
      <c r="I57" s="50"/>
      <c r="J57" s="64"/>
    </row>
    <row r="58" spans="1:10" ht="15.75" customHeight="1">
      <c r="A58" s="68" t="s">
        <v>194</v>
      </c>
      <c r="B58" s="77">
        <v>500</v>
      </c>
      <c r="C58" s="77">
        <v>1500</v>
      </c>
      <c r="D58" s="77">
        <v>0</v>
      </c>
      <c r="E58" s="85">
        <v>1500</v>
      </c>
      <c r="F58" s="218">
        <f t="shared" si="0"/>
        <v>125</v>
      </c>
      <c r="G58" s="48"/>
      <c r="H58" s="80" t="b">
        <v>0</v>
      </c>
      <c r="I58" s="50"/>
      <c r="J58" s="51"/>
    </row>
    <row r="59" spans="1:10" ht="15.75" customHeight="1">
      <c r="A59" s="68" t="s">
        <v>195</v>
      </c>
      <c r="B59" s="77">
        <v>2000</v>
      </c>
      <c r="C59" s="77">
        <v>3000</v>
      </c>
      <c r="D59" s="77">
        <v>9470</v>
      </c>
      <c r="E59" s="85">
        <v>1500</v>
      </c>
      <c r="F59" s="218">
        <f t="shared" si="0"/>
        <v>125</v>
      </c>
      <c r="G59" s="48"/>
      <c r="H59" s="80" t="b">
        <v>0</v>
      </c>
      <c r="I59" s="50"/>
      <c r="J59" s="51"/>
    </row>
    <row r="60" spans="1:10" ht="15.75" customHeight="1">
      <c r="A60" s="137" t="s">
        <v>196</v>
      </c>
      <c r="B60" s="138">
        <v>2500</v>
      </c>
      <c r="C60" s="138">
        <v>4500</v>
      </c>
      <c r="D60" s="138">
        <v>9470</v>
      </c>
      <c r="E60" s="139">
        <v>3000</v>
      </c>
      <c r="F60" s="218">
        <f t="shared" si="0"/>
        <v>250</v>
      </c>
      <c r="G60" s="48"/>
      <c r="H60" s="80"/>
      <c r="I60" s="50"/>
      <c r="J60" s="64"/>
    </row>
    <row r="61" spans="1:10" ht="15.75" customHeight="1">
      <c r="A61" s="140" t="s">
        <v>197</v>
      </c>
      <c r="B61" s="56"/>
      <c r="C61" s="56"/>
      <c r="D61" s="56"/>
      <c r="E61" s="94"/>
      <c r="F61" s="218">
        <f t="shared" si="0"/>
        <v>0</v>
      </c>
      <c r="G61" s="48"/>
      <c r="H61" s="80"/>
      <c r="I61" s="50"/>
      <c r="J61" s="64"/>
    </row>
    <row r="62" spans="1:10" ht="15.75" customHeight="1">
      <c r="A62" s="141" t="s">
        <v>198</v>
      </c>
      <c r="B62" s="77">
        <v>11000</v>
      </c>
      <c r="C62" s="77">
        <v>500</v>
      </c>
      <c r="D62" s="95"/>
      <c r="E62" s="96">
        <v>11000</v>
      </c>
      <c r="F62" s="218">
        <f t="shared" si="0"/>
        <v>916.66666666666663</v>
      </c>
      <c r="G62" s="48" t="s">
        <v>199</v>
      </c>
      <c r="H62" s="80" t="b">
        <v>0</v>
      </c>
      <c r="I62" s="50" t="s">
        <v>200</v>
      </c>
      <c r="J62" s="51"/>
    </row>
    <row r="63" spans="1:10" ht="15.75" customHeight="1">
      <c r="A63" s="141" t="s">
        <v>201</v>
      </c>
      <c r="B63" s="128">
        <v>500</v>
      </c>
      <c r="C63" s="77"/>
      <c r="D63" s="95"/>
      <c r="E63" s="96">
        <v>500</v>
      </c>
      <c r="F63" s="218">
        <f t="shared" si="0"/>
        <v>41.666666666666664</v>
      </c>
      <c r="G63" s="48" t="s">
        <v>127</v>
      </c>
      <c r="H63" s="80" t="b">
        <v>0</v>
      </c>
      <c r="I63" s="50"/>
      <c r="J63" s="51"/>
    </row>
    <row r="64" spans="1:10" ht="15.75" customHeight="1">
      <c r="A64" s="141" t="s">
        <v>202</v>
      </c>
      <c r="B64" s="77">
        <v>1000</v>
      </c>
      <c r="C64" s="77"/>
      <c r="D64" s="95"/>
      <c r="E64" s="96">
        <v>1000</v>
      </c>
      <c r="F64" s="218">
        <f t="shared" si="0"/>
        <v>83.333333333333329</v>
      </c>
      <c r="G64" s="48" t="s">
        <v>127</v>
      </c>
      <c r="H64" s="80" t="b">
        <v>0</v>
      </c>
      <c r="I64" s="50"/>
      <c r="J64" s="51"/>
    </row>
    <row r="65" spans="1:10" ht="15.75" customHeight="1">
      <c r="A65" s="141" t="s">
        <v>203</v>
      </c>
      <c r="B65" s="77">
        <v>250</v>
      </c>
      <c r="C65" s="77"/>
      <c r="D65" s="95"/>
      <c r="E65" s="96">
        <v>250</v>
      </c>
      <c r="F65" s="218">
        <f t="shared" si="0"/>
        <v>20.833333333333332</v>
      </c>
      <c r="G65" s="48" t="s">
        <v>127</v>
      </c>
      <c r="H65" s="80" t="b">
        <v>0</v>
      </c>
      <c r="I65" s="50"/>
      <c r="J65" s="51"/>
    </row>
    <row r="66" spans="1:10" ht="15.75" customHeight="1">
      <c r="A66" s="141" t="s">
        <v>204</v>
      </c>
      <c r="B66" s="77">
        <v>500</v>
      </c>
      <c r="C66" s="77"/>
      <c r="D66" s="95"/>
      <c r="E66" s="96">
        <v>500</v>
      </c>
      <c r="F66" s="218">
        <f t="shared" si="0"/>
        <v>41.666666666666664</v>
      </c>
      <c r="G66" s="48" t="s">
        <v>127</v>
      </c>
      <c r="H66" s="80" t="b">
        <v>0</v>
      </c>
      <c r="I66" s="50"/>
      <c r="J66" s="51"/>
    </row>
    <row r="67" spans="1:10" ht="15.75" customHeight="1">
      <c r="A67" s="142" t="s">
        <v>205</v>
      </c>
      <c r="B67" s="77"/>
      <c r="C67" s="77">
        <v>10000</v>
      </c>
      <c r="D67" s="95">
        <v>5950</v>
      </c>
      <c r="E67" s="96"/>
      <c r="F67" s="218">
        <f t="shared" si="0"/>
        <v>0</v>
      </c>
      <c r="G67" s="48" t="s">
        <v>134</v>
      </c>
      <c r="H67" s="80" t="b">
        <v>0</v>
      </c>
      <c r="I67" s="50" t="s">
        <v>206</v>
      </c>
      <c r="J67" s="51"/>
    </row>
    <row r="68" spans="1:10" ht="21" customHeight="1">
      <c r="A68" s="141" t="s">
        <v>207</v>
      </c>
      <c r="B68" s="77">
        <v>2500</v>
      </c>
      <c r="C68" s="77"/>
      <c r="D68" s="95">
        <v>899</v>
      </c>
      <c r="E68" s="96">
        <v>2500</v>
      </c>
      <c r="F68" s="218">
        <f t="shared" si="0"/>
        <v>208.33333333333334</v>
      </c>
      <c r="G68" s="72"/>
      <c r="H68" s="73" t="b">
        <v>0</v>
      </c>
      <c r="I68" s="51"/>
      <c r="J68" s="51"/>
    </row>
    <row r="69" spans="1:10" ht="21" customHeight="1">
      <c r="A69" s="141" t="s">
        <v>208</v>
      </c>
      <c r="B69" s="128">
        <v>3500</v>
      </c>
      <c r="C69" s="77"/>
      <c r="D69" s="95"/>
      <c r="E69" s="96">
        <v>3500</v>
      </c>
      <c r="F69" s="218">
        <f t="shared" si="0"/>
        <v>291.66666666666669</v>
      </c>
      <c r="G69" s="72"/>
      <c r="H69" s="73" t="b">
        <v>0</v>
      </c>
      <c r="I69" s="143" t="s">
        <v>209</v>
      </c>
      <c r="J69" s="98"/>
    </row>
    <row r="70" spans="1:10" ht="15.75" customHeight="1">
      <c r="A70" s="142" t="s">
        <v>210</v>
      </c>
      <c r="B70" s="95"/>
      <c r="C70" s="95">
        <v>1000</v>
      </c>
      <c r="D70" s="95"/>
      <c r="E70" s="96"/>
      <c r="F70" s="218">
        <f t="shared" si="0"/>
        <v>0</v>
      </c>
      <c r="G70" s="72" t="s">
        <v>134</v>
      </c>
      <c r="H70" s="73" t="b">
        <v>0</v>
      </c>
      <c r="I70" s="51"/>
      <c r="J70" s="51"/>
    </row>
    <row r="71" spans="1:10" ht="15.75" customHeight="1">
      <c r="A71" s="137" t="s">
        <v>211</v>
      </c>
      <c r="B71" s="138">
        <v>19250</v>
      </c>
      <c r="C71" s="138">
        <v>11500</v>
      </c>
      <c r="D71" s="138">
        <v>6849</v>
      </c>
      <c r="E71" s="139">
        <v>19250</v>
      </c>
      <c r="F71" s="218">
        <f t="shared" si="0"/>
        <v>1604.1666666666667</v>
      </c>
      <c r="G71" s="144"/>
      <c r="H71" s="62"/>
      <c r="I71" s="64"/>
      <c r="J71" s="64"/>
    </row>
    <row r="72" spans="1:10" ht="15.75" customHeight="1">
      <c r="A72" s="44" t="s">
        <v>212</v>
      </c>
      <c r="B72" s="76"/>
      <c r="C72" s="76"/>
      <c r="D72" s="76"/>
      <c r="E72" s="136"/>
      <c r="F72" s="218">
        <f t="shared" ref="F72:F135" si="1">+E72/12</f>
        <v>0</v>
      </c>
      <c r="G72" s="144"/>
      <c r="H72" s="62"/>
      <c r="I72" s="64"/>
      <c r="J72" s="64"/>
    </row>
    <row r="73" spans="1:10" ht="15.75" customHeight="1">
      <c r="A73" s="68" t="s">
        <v>213</v>
      </c>
      <c r="B73" s="77">
        <v>1000</v>
      </c>
      <c r="C73" s="77">
        <v>500</v>
      </c>
      <c r="D73" s="95">
        <v>4547</v>
      </c>
      <c r="E73" s="96">
        <v>1000</v>
      </c>
      <c r="F73" s="218">
        <f t="shared" si="1"/>
        <v>83.333333333333329</v>
      </c>
      <c r="G73" s="72"/>
      <c r="H73" s="73" t="b">
        <v>0</v>
      </c>
      <c r="I73" s="51"/>
      <c r="J73" s="51"/>
    </row>
    <row r="74" spans="1:10" ht="20.25" customHeight="1">
      <c r="A74" s="68" t="s">
        <v>214</v>
      </c>
      <c r="B74" s="95">
        <v>45000</v>
      </c>
      <c r="C74" s="95">
        <v>50000</v>
      </c>
      <c r="D74" s="95">
        <v>20506</v>
      </c>
      <c r="E74" s="96">
        <v>45000</v>
      </c>
      <c r="F74" s="218">
        <f t="shared" si="1"/>
        <v>3750</v>
      </c>
      <c r="G74" s="72"/>
      <c r="H74" s="73" t="b">
        <v>0</v>
      </c>
      <c r="I74" s="51" t="s">
        <v>215</v>
      </c>
      <c r="J74" s="51"/>
    </row>
    <row r="75" spans="1:10" ht="15.75" customHeight="1">
      <c r="A75" s="68" t="s">
        <v>216</v>
      </c>
      <c r="B75" s="95">
        <v>6000</v>
      </c>
      <c r="C75" s="95">
        <v>3500</v>
      </c>
      <c r="D75" s="95">
        <v>5106</v>
      </c>
      <c r="E75" s="96">
        <v>6000</v>
      </c>
      <c r="F75" s="218">
        <f t="shared" si="1"/>
        <v>500</v>
      </c>
      <c r="G75" s="72"/>
      <c r="H75" s="73" t="b">
        <v>0</v>
      </c>
      <c r="I75" s="51"/>
      <c r="J75" s="51"/>
    </row>
    <row r="76" spans="1:10" ht="15.75" customHeight="1">
      <c r="A76" s="68" t="s">
        <v>217</v>
      </c>
      <c r="B76" s="95">
        <v>2500</v>
      </c>
      <c r="C76" s="95">
        <v>3000</v>
      </c>
      <c r="D76" s="95">
        <v>2075</v>
      </c>
      <c r="E76" s="96">
        <v>2500</v>
      </c>
      <c r="F76" s="218">
        <f t="shared" si="1"/>
        <v>208.33333333333334</v>
      </c>
      <c r="G76" s="72"/>
      <c r="H76" s="73" t="b">
        <v>0</v>
      </c>
      <c r="I76" s="51"/>
      <c r="J76" s="51"/>
    </row>
    <row r="77" spans="1:10" ht="15.75" customHeight="1">
      <c r="A77" s="68" t="s">
        <v>218</v>
      </c>
      <c r="B77" s="145">
        <v>13000</v>
      </c>
      <c r="E77" s="123">
        <v>13000</v>
      </c>
      <c r="F77" s="218">
        <f t="shared" si="1"/>
        <v>1083.3333333333333</v>
      </c>
      <c r="G77" s="124" t="s">
        <v>127</v>
      </c>
      <c r="H77" s="125" t="b">
        <v>1</v>
      </c>
      <c r="I77" s="50" t="s">
        <v>219</v>
      </c>
      <c r="J77" s="92"/>
    </row>
    <row r="78" spans="1:10" ht="15.75" customHeight="1">
      <c r="A78" s="137" t="s">
        <v>220</v>
      </c>
      <c r="B78" s="138">
        <v>67500</v>
      </c>
      <c r="C78" s="138">
        <v>57000</v>
      </c>
      <c r="D78" s="138">
        <v>32234</v>
      </c>
      <c r="E78" s="139">
        <v>67500</v>
      </c>
      <c r="F78" s="218">
        <f t="shared" si="1"/>
        <v>5625</v>
      </c>
      <c r="G78" s="144"/>
      <c r="H78" s="62"/>
      <c r="I78" s="64"/>
      <c r="J78" s="64"/>
    </row>
    <row r="79" spans="1:10" ht="15.75" customHeight="1">
      <c r="A79" s="44"/>
      <c r="B79" s="44"/>
      <c r="C79" s="44"/>
      <c r="D79" s="44"/>
      <c r="E79" s="146"/>
      <c r="F79" s="218">
        <f t="shared" si="1"/>
        <v>0</v>
      </c>
      <c r="G79" s="144"/>
      <c r="H79" s="62"/>
      <c r="I79" s="64"/>
      <c r="J79" s="64"/>
    </row>
    <row r="80" spans="1:10" ht="15.75" customHeight="1">
      <c r="A80" s="147" t="s">
        <v>221</v>
      </c>
      <c r="B80" s="147"/>
      <c r="C80" s="147"/>
      <c r="D80" s="147"/>
      <c r="E80" s="148"/>
      <c r="F80" s="218">
        <f t="shared" si="1"/>
        <v>0</v>
      </c>
      <c r="G80" s="144"/>
      <c r="H80" s="62"/>
      <c r="I80" s="64"/>
      <c r="J80" s="64"/>
    </row>
    <row r="81" spans="1:10" ht="21" customHeight="1">
      <c r="A81" s="149" t="s">
        <v>222</v>
      </c>
      <c r="B81" s="150"/>
      <c r="C81" s="151"/>
      <c r="D81" s="151"/>
      <c r="E81" s="152"/>
      <c r="F81" s="218">
        <f t="shared" si="1"/>
        <v>0</v>
      </c>
      <c r="G81" s="144"/>
      <c r="H81" s="62"/>
      <c r="I81" s="64"/>
      <c r="J81" s="64"/>
    </row>
    <row r="82" spans="1:10" ht="15.75" customHeight="1">
      <c r="A82" s="153" t="s">
        <v>223</v>
      </c>
      <c r="B82" s="154">
        <v>3</v>
      </c>
      <c r="C82" s="151"/>
      <c r="D82" s="151"/>
      <c r="E82" s="152"/>
      <c r="F82" s="218">
        <f t="shared" si="1"/>
        <v>0</v>
      </c>
      <c r="G82" s="144"/>
      <c r="H82" s="62"/>
      <c r="I82" s="64"/>
      <c r="J82" s="64"/>
    </row>
    <row r="83" spans="1:10" ht="15.75" customHeight="1">
      <c r="A83" s="44" t="s">
        <v>224</v>
      </c>
      <c r="B83" s="76"/>
      <c r="C83" s="76"/>
      <c r="D83" s="76"/>
      <c r="E83" s="136"/>
      <c r="F83" s="218">
        <f t="shared" si="1"/>
        <v>0</v>
      </c>
      <c r="G83" s="144" t="s">
        <v>199</v>
      </c>
      <c r="H83" s="62"/>
      <c r="I83" s="64" t="s">
        <v>225</v>
      </c>
      <c r="J83" s="64"/>
    </row>
    <row r="84" spans="1:10" ht="15.75" customHeight="1">
      <c r="A84" s="68" t="s">
        <v>109</v>
      </c>
      <c r="B84" s="77">
        <v>1000</v>
      </c>
      <c r="C84" s="77">
        <v>2500</v>
      </c>
      <c r="D84" s="95">
        <v>0</v>
      </c>
      <c r="E84" s="96">
        <v>700</v>
      </c>
      <c r="F84" s="218">
        <f t="shared" si="1"/>
        <v>58.333333333333336</v>
      </c>
      <c r="G84" s="72"/>
      <c r="H84" s="73" t="b">
        <v>0</v>
      </c>
      <c r="I84" s="51"/>
      <c r="J84" s="51"/>
    </row>
    <row r="85" spans="1:10" ht="19.5" customHeight="1">
      <c r="A85" s="68" t="s">
        <v>226</v>
      </c>
      <c r="B85" s="77">
        <v>1000</v>
      </c>
      <c r="C85" s="77">
        <v>2000</v>
      </c>
      <c r="D85" s="95">
        <v>1373.11</v>
      </c>
      <c r="E85" s="96">
        <v>500</v>
      </c>
      <c r="F85" s="218">
        <f t="shared" si="1"/>
        <v>41.666666666666664</v>
      </c>
      <c r="G85" s="72"/>
      <c r="H85" s="73" t="b">
        <v>0</v>
      </c>
      <c r="I85" s="51" t="s">
        <v>227</v>
      </c>
      <c r="J85" s="51"/>
    </row>
    <row r="86" spans="1:10" ht="15.75" customHeight="1">
      <c r="A86" s="68" t="s">
        <v>228</v>
      </c>
      <c r="B86" s="77">
        <v>500</v>
      </c>
      <c r="C86" s="77">
        <v>1500</v>
      </c>
      <c r="D86" s="95">
        <v>0</v>
      </c>
      <c r="E86" s="96">
        <v>200</v>
      </c>
      <c r="F86" s="218">
        <f t="shared" si="1"/>
        <v>16.666666666666668</v>
      </c>
      <c r="G86" s="48"/>
      <c r="H86" s="80" t="b">
        <v>0</v>
      </c>
      <c r="I86" s="50"/>
      <c r="J86" s="51"/>
    </row>
    <row r="87" spans="1:10" ht="18.75" customHeight="1">
      <c r="A87" s="68" t="s">
        <v>110</v>
      </c>
      <c r="B87" s="77">
        <v>500</v>
      </c>
      <c r="C87" s="155">
        <v>1000</v>
      </c>
      <c r="D87" s="95">
        <v>63.14</v>
      </c>
      <c r="E87" s="96">
        <v>500</v>
      </c>
      <c r="F87" s="218">
        <f t="shared" si="1"/>
        <v>41.666666666666664</v>
      </c>
      <c r="G87" s="48"/>
      <c r="H87" s="80" t="b">
        <v>0</v>
      </c>
      <c r="I87" s="50"/>
      <c r="J87" s="51"/>
    </row>
    <row r="88" spans="1:10" ht="15.75" customHeight="1">
      <c r="A88" s="156" t="s">
        <v>229</v>
      </c>
      <c r="B88" s="157">
        <v>3000</v>
      </c>
      <c r="C88" s="157">
        <v>7000</v>
      </c>
      <c r="D88" s="157">
        <v>1436</v>
      </c>
      <c r="E88" s="158">
        <v>1900</v>
      </c>
      <c r="F88" s="218">
        <f t="shared" si="1"/>
        <v>158.33333333333334</v>
      </c>
      <c r="G88" s="48"/>
      <c r="H88" s="80"/>
      <c r="I88" s="50"/>
      <c r="J88" s="159">
        <v>0.38</v>
      </c>
    </row>
    <row r="89" spans="1:10" ht="15.75" customHeight="1">
      <c r="A89" s="160" t="s">
        <v>230</v>
      </c>
      <c r="B89" s="161"/>
      <c r="C89" s="161"/>
      <c r="D89" s="162"/>
      <c r="E89" s="163"/>
      <c r="F89" s="218">
        <f t="shared" si="1"/>
        <v>0</v>
      </c>
      <c r="G89" s="48"/>
      <c r="H89" s="80" t="b">
        <v>0</v>
      </c>
      <c r="I89" s="50"/>
      <c r="J89" s="164"/>
    </row>
    <row r="90" spans="1:10" ht="15.75" customHeight="1">
      <c r="A90" s="165" t="s">
        <v>112</v>
      </c>
      <c r="B90" s="128">
        <v>1000</v>
      </c>
      <c r="C90" s="162">
        <v>1000</v>
      </c>
      <c r="D90" s="162">
        <v>245</v>
      </c>
      <c r="E90" s="163">
        <v>400</v>
      </c>
      <c r="F90" s="218">
        <f t="shared" si="1"/>
        <v>33.333333333333336</v>
      </c>
      <c r="G90" s="48"/>
      <c r="H90" s="80" t="b">
        <v>0</v>
      </c>
      <c r="I90" s="50" t="s">
        <v>189</v>
      </c>
      <c r="J90" s="51"/>
    </row>
    <row r="91" spans="1:10" ht="15.75" customHeight="1">
      <c r="A91" s="165" t="s">
        <v>231</v>
      </c>
      <c r="B91" s="162">
        <v>250</v>
      </c>
      <c r="C91" s="162">
        <v>0</v>
      </c>
      <c r="D91" s="162">
        <v>0</v>
      </c>
      <c r="E91" s="163">
        <v>250</v>
      </c>
      <c r="F91" s="218">
        <f t="shared" si="1"/>
        <v>20.833333333333332</v>
      </c>
      <c r="G91" s="48"/>
      <c r="H91" s="80" t="b">
        <v>0</v>
      </c>
      <c r="I91" s="50"/>
      <c r="J91" s="51"/>
    </row>
    <row r="92" spans="1:10" ht="15.75" customHeight="1">
      <c r="A92" s="165" t="s">
        <v>232</v>
      </c>
      <c r="B92" s="162">
        <v>250</v>
      </c>
      <c r="C92" s="166">
        <v>750</v>
      </c>
      <c r="D92" s="162">
        <v>0</v>
      </c>
      <c r="E92" s="163">
        <v>200</v>
      </c>
      <c r="F92" s="218">
        <f t="shared" si="1"/>
        <v>16.666666666666668</v>
      </c>
      <c r="G92" s="48"/>
      <c r="H92" s="80" t="b">
        <v>0</v>
      </c>
      <c r="I92" s="50"/>
      <c r="J92" s="51"/>
    </row>
    <row r="93" spans="1:10" ht="15.75" customHeight="1">
      <c r="A93" s="167" t="s">
        <v>233</v>
      </c>
      <c r="B93" s="168">
        <v>1500</v>
      </c>
      <c r="C93" s="168">
        <v>1750</v>
      </c>
      <c r="D93" s="168">
        <v>245</v>
      </c>
      <c r="E93" s="169">
        <v>850</v>
      </c>
      <c r="F93" s="218">
        <f t="shared" si="1"/>
        <v>70.833333333333329</v>
      </c>
      <c r="G93" s="48"/>
      <c r="H93" s="80"/>
      <c r="I93" s="50"/>
      <c r="J93" s="64"/>
    </row>
    <row r="94" spans="1:10" ht="15.75" customHeight="1">
      <c r="A94" s="44" t="s">
        <v>234</v>
      </c>
      <c r="B94" s="76"/>
      <c r="C94" s="76"/>
      <c r="D94" s="76"/>
      <c r="E94" s="136"/>
      <c r="F94" s="218">
        <f t="shared" si="1"/>
        <v>0</v>
      </c>
      <c r="G94" s="48"/>
      <c r="H94" s="80" t="b">
        <v>0</v>
      </c>
      <c r="I94" s="50"/>
      <c r="J94" s="64"/>
    </row>
    <row r="95" spans="1:10" ht="15.75" customHeight="1">
      <c r="A95" s="68" t="s">
        <v>235</v>
      </c>
      <c r="B95" s="128">
        <v>1000</v>
      </c>
      <c r="C95" s="77">
        <v>500</v>
      </c>
      <c r="D95" s="77">
        <v>0</v>
      </c>
      <c r="E95" s="85">
        <v>400</v>
      </c>
      <c r="F95" s="218">
        <f t="shared" si="1"/>
        <v>33.333333333333336</v>
      </c>
      <c r="G95" s="48"/>
      <c r="H95" s="80" t="b">
        <v>0</v>
      </c>
      <c r="I95" s="50" t="s">
        <v>189</v>
      </c>
      <c r="J95" s="50"/>
    </row>
    <row r="96" spans="1:10" ht="15.75" customHeight="1">
      <c r="A96" s="68" t="s">
        <v>236</v>
      </c>
      <c r="B96" s="77">
        <v>250</v>
      </c>
      <c r="C96" s="77">
        <v>500</v>
      </c>
      <c r="D96" s="77">
        <v>200</v>
      </c>
      <c r="E96" s="85">
        <v>250</v>
      </c>
      <c r="F96" s="218">
        <f t="shared" si="1"/>
        <v>20.833333333333332</v>
      </c>
      <c r="G96" s="48"/>
      <c r="H96" s="80" t="b">
        <v>0</v>
      </c>
      <c r="I96" s="50" t="s">
        <v>237</v>
      </c>
      <c r="J96" s="50"/>
    </row>
    <row r="97" spans="1:10" ht="15.75" customHeight="1">
      <c r="A97" s="68" t="s">
        <v>238</v>
      </c>
      <c r="B97" s="77">
        <v>250</v>
      </c>
      <c r="C97" s="155">
        <v>500</v>
      </c>
      <c r="D97" s="77">
        <v>0</v>
      </c>
      <c r="E97" s="85">
        <v>200</v>
      </c>
      <c r="F97" s="218">
        <f t="shared" si="1"/>
        <v>16.666666666666668</v>
      </c>
      <c r="G97" s="48"/>
      <c r="H97" s="80" t="b">
        <v>0</v>
      </c>
      <c r="I97" s="50"/>
      <c r="J97" s="50"/>
    </row>
    <row r="98" spans="1:10" ht="15.75" customHeight="1">
      <c r="A98" s="156" t="s">
        <v>239</v>
      </c>
      <c r="B98" s="157">
        <v>1500</v>
      </c>
      <c r="C98" s="157">
        <v>1500</v>
      </c>
      <c r="D98" s="157">
        <v>200</v>
      </c>
      <c r="E98" s="158">
        <v>850</v>
      </c>
      <c r="F98" s="218">
        <f t="shared" si="1"/>
        <v>70.833333333333329</v>
      </c>
      <c r="G98" s="144"/>
      <c r="H98" s="62"/>
      <c r="I98" s="64"/>
      <c r="J98" s="64"/>
    </row>
    <row r="99" spans="1:10" ht="15.75" customHeight="1">
      <c r="A99" s="170" t="s">
        <v>240</v>
      </c>
      <c r="B99" s="171">
        <v>6000</v>
      </c>
      <c r="C99" s="171">
        <v>10250</v>
      </c>
      <c r="D99" s="171">
        <v>1736</v>
      </c>
      <c r="E99" s="172">
        <v>3600</v>
      </c>
      <c r="F99" s="218">
        <f t="shared" si="1"/>
        <v>300</v>
      </c>
      <c r="G99" s="144"/>
      <c r="H99" s="62"/>
      <c r="I99" s="64"/>
      <c r="J99" s="64"/>
    </row>
    <row r="100" spans="1:10" ht="9" customHeight="1">
      <c r="A100" s="156"/>
      <c r="B100" s="56"/>
      <c r="C100" s="56"/>
      <c r="D100" s="56"/>
      <c r="E100" s="94"/>
      <c r="F100" s="218">
        <f t="shared" si="1"/>
        <v>0</v>
      </c>
      <c r="G100" s="144"/>
      <c r="H100" s="62"/>
      <c r="I100" s="64"/>
      <c r="J100" s="64"/>
    </row>
    <row r="101" spans="1:10" ht="18" customHeight="1">
      <c r="A101" s="149" t="s">
        <v>241</v>
      </c>
      <c r="B101" s="150"/>
      <c r="C101" s="151"/>
      <c r="D101" s="151"/>
      <c r="E101" s="152"/>
      <c r="F101" s="218">
        <f t="shared" si="1"/>
        <v>0</v>
      </c>
      <c r="G101" s="144" t="s">
        <v>199</v>
      </c>
      <c r="H101" s="62"/>
      <c r="I101" s="51" t="s">
        <v>242</v>
      </c>
      <c r="J101" s="64"/>
    </row>
    <row r="102" spans="1:10" ht="15.75" customHeight="1">
      <c r="A102" s="153" t="s">
        <v>223</v>
      </c>
      <c r="B102" s="154">
        <v>1</v>
      </c>
      <c r="C102" s="151"/>
      <c r="D102" s="151"/>
      <c r="E102" s="152"/>
      <c r="F102" s="218">
        <f t="shared" si="1"/>
        <v>0</v>
      </c>
      <c r="G102" s="72"/>
      <c r="H102" s="73" t="b">
        <v>0</v>
      </c>
      <c r="I102" s="51"/>
      <c r="J102" s="51"/>
    </row>
    <row r="103" spans="1:10" ht="15.75" customHeight="1">
      <c r="A103" s="68" t="s">
        <v>86</v>
      </c>
      <c r="B103" s="95">
        <v>1500</v>
      </c>
      <c r="C103" s="95">
        <v>3000</v>
      </c>
      <c r="D103" s="95">
        <v>500</v>
      </c>
      <c r="E103" s="96">
        <v>1250</v>
      </c>
      <c r="F103" s="218">
        <f t="shared" si="1"/>
        <v>104.16666666666667</v>
      </c>
      <c r="G103" s="72"/>
      <c r="H103" s="73" t="b">
        <v>0</v>
      </c>
      <c r="I103" s="51"/>
      <c r="J103" s="51"/>
    </row>
    <row r="104" spans="1:10" ht="15.75" customHeight="1">
      <c r="A104" s="68" t="s">
        <v>243</v>
      </c>
      <c r="B104" s="95">
        <v>0</v>
      </c>
      <c r="C104" s="95">
        <v>12400</v>
      </c>
      <c r="D104" s="95">
        <v>10749</v>
      </c>
      <c r="E104" s="96">
        <v>0</v>
      </c>
      <c r="F104" s="218">
        <f t="shared" si="1"/>
        <v>0</v>
      </c>
      <c r="G104" s="72"/>
      <c r="H104" s="73" t="b">
        <v>0</v>
      </c>
      <c r="I104" s="51" t="s">
        <v>244</v>
      </c>
      <c r="J104" s="51"/>
    </row>
    <row r="105" spans="1:10" ht="15.75" customHeight="1">
      <c r="A105" s="68" t="s">
        <v>245</v>
      </c>
      <c r="B105" s="95">
        <v>250</v>
      </c>
      <c r="C105" s="173">
        <v>500</v>
      </c>
      <c r="D105" s="95">
        <v>0</v>
      </c>
      <c r="E105" s="96">
        <v>200</v>
      </c>
      <c r="F105" s="218">
        <f t="shared" si="1"/>
        <v>16.666666666666668</v>
      </c>
      <c r="G105" s="48"/>
      <c r="H105" s="80" t="b">
        <v>0</v>
      </c>
      <c r="I105" s="50"/>
      <c r="J105" s="51"/>
    </row>
    <row r="106" spans="1:10" ht="15.75" customHeight="1">
      <c r="A106" s="68" t="s">
        <v>246</v>
      </c>
      <c r="B106" s="45">
        <v>1000</v>
      </c>
      <c r="D106" s="118">
        <v>0</v>
      </c>
      <c r="E106" s="79">
        <v>1000</v>
      </c>
      <c r="F106" s="218">
        <f t="shared" si="1"/>
        <v>83.333333333333329</v>
      </c>
      <c r="G106" s="124" t="s">
        <v>127</v>
      </c>
      <c r="H106" s="125" t="b">
        <v>0</v>
      </c>
      <c r="I106" s="50" t="s">
        <v>247</v>
      </c>
      <c r="J106" s="51"/>
    </row>
    <row r="107" spans="1:10" ht="15.75" customHeight="1">
      <c r="A107" s="174" t="s">
        <v>248</v>
      </c>
      <c r="B107" s="150">
        <v>2750</v>
      </c>
      <c r="C107" s="150">
        <v>15900</v>
      </c>
      <c r="D107" s="150">
        <v>11249</v>
      </c>
      <c r="E107" s="175">
        <v>2450</v>
      </c>
      <c r="F107" s="218">
        <f t="shared" si="1"/>
        <v>204.16666666666666</v>
      </c>
      <c r="G107" s="48"/>
      <c r="H107" s="80"/>
      <c r="I107" s="50"/>
      <c r="J107" s="64"/>
    </row>
    <row r="108" spans="1:10" ht="9.75" customHeight="1">
      <c r="A108" s="44"/>
      <c r="B108" s="157"/>
      <c r="C108" s="157"/>
      <c r="D108" s="157"/>
      <c r="E108" s="158"/>
      <c r="F108" s="218">
        <f t="shared" si="1"/>
        <v>0</v>
      </c>
      <c r="G108" s="48"/>
      <c r="H108" s="80"/>
      <c r="I108" s="50"/>
      <c r="J108" s="64"/>
    </row>
    <row r="109" spans="1:10" ht="18.75" customHeight="1">
      <c r="A109" s="149" t="s">
        <v>249</v>
      </c>
      <c r="B109" s="150"/>
      <c r="C109" s="151"/>
      <c r="D109" s="151"/>
      <c r="E109" s="152"/>
      <c r="F109" s="218">
        <f t="shared" si="1"/>
        <v>0</v>
      </c>
      <c r="G109" s="48" t="s">
        <v>199</v>
      </c>
      <c r="H109" s="80"/>
      <c r="I109" s="50" t="s">
        <v>250</v>
      </c>
      <c r="J109" s="64"/>
    </row>
    <row r="110" spans="1:10" ht="15.75" customHeight="1">
      <c r="A110" s="153" t="s">
        <v>223</v>
      </c>
      <c r="B110" s="154">
        <v>2</v>
      </c>
      <c r="C110" s="151"/>
      <c r="D110" s="151"/>
      <c r="E110" s="152"/>
      <c r="F110" s="218">
        <f t="shared" si="1"/>
        <v>0</v>
      </c>
      <c r="G110" s="48"/>
      <c r="H110" s="80" t="b">
        <v>0</v>
      </c>
      <c r="I110" s="50"/>
      <c r="J110" s="51"/>
    </row>
    <row r="111" spans="1:10" ht="15.75" customHeight="1">
      <c r="A111" s="68" t="s">
        <v>111</v>
      </c>
      <c r="B111" s="127">
        <v>2000</v>
      </c>
      <c r="C111" s="95">
        <v>1000</v>
      </c>
      <c r="D111" s="95">
        <v>99.5</v>
      </c>
      <c r="E111" s="96">
        <v>1250</v>
      </c>
      <c r="F111" s="218">
        <f t="shared" si="1"/>
        <v>104.16666666666667</v>
      </c>
      <c r="G111" s="48"/>
      <c r="H111" s="80" t="b">
        <v>0</v>
      </c>
      <c r="I111" s="50" t="s">
        <v>251</v>
      </c>
      <c r="J111" s="51"/>
    </row>
    <row r="112" spans="1:10" ht="15.75" customHeight="1">
      <c r="A112" s="68" t="s">
        <v>252</v>
      </c>
      <c r="B112" s="95">
        <v>0</v>
      </c>
      <c r="C112" s="95">
        <v>500</v>
      </c>
      <c r="D112" s="95">
        <v>0</v>
      </c>
      <c r="E112" s="96">
        <v>0</v>
      </c>
      <c r="F112" s="218">
        <f t="shared" si="1"/>
        <v>0</v>
      </c>
      <c r="G112" s="72"/>
      <c r="H112" s="73" t="b">
        <v>0</v>
      </c>
      <c r="I112" s="51" t="s">
        <v>253</v>
      </c>
      <c r="J112" s="51"/>
    </row>
    <row r="113" spans="1:10" ht="15.75" customHeight="1">
      <c r="A113" s="68" t="s">
        <v>254</v>
      </c>
      <c r="B113" s="95">
        <v>500</v>
      </c>
      <c r="C113" s="95">
        <v>500</v>
      </c>
      <c r="D113" s="95">
        <v>5</v>
      </c>
      <c r="E113" s="96">
        <v>200</v>
      </c>
      <c r="F113" s="218">
        <f t="shared" si="1"/>
        <v>16.666666666666668</v>
      </c>
      <c r="G113" s="72"/>
      <c r="H113" s="73" t="b">
        <v>0</v>
      </c>
      <c r="I113" s="51"/>
      <c r="J113" s="51"/>
    </row>
    <row r="114" spans="1:10" ht="18" customHeight="1">
      <c r="A114" s="68" t="s">
        <v>255</v>
      </c>
      <c r="B114" s="95">
        <v>10000</v>
      </c>
      <c r="C114" s="173">
        <v>10000</v>
      </c>
      <c r="D114" s="95">
        <v>9000</v>
      </c>
      <c r="E114" s="96">
        <v>5000</v>
      </c>
      <c r="F114" s="218">
        <f t="shared" si="1"/>
        <v>416.66666666666669</v>
      </c>
      <c r="G114" s="72" t="s">
        <v>199</v>
      </c>
      <c r="H114" s="73" t="b">
        <v>1</v>
      </c>
      <c r="I114" s="51" t="s">
        <v>256</v>
      </c>
      <c r="J114" s="51"/>
    </row>
    <row r="115" spans="1:10" ht="15.75" customHeight="1">
      <c r="A115" s="170" t="s">
        <v>257</v>
      </c>
      <c r="B115" s="150">
        <v>11500</v>
      </c>
      <c r="C115" s="150">
        <v>12000</v>
      </c>
      <c r="D115" s="150">
        <v>9105</v>
      </c>
      <c r="E115" s="175">
        <v>6450</v>
      </c>
      <c r="F115" s="218">
        <f t="shared" si="1"/>
        <v>537.5</v>
      </c>
      <c r="G115" s="48"/>
      <c r="H115" s="80"/>
      <c r="I115" s="50"/>
      <c r="J115" s="64"/>
    </row>
    <row r="116" spans="1:10" ht="15.75" customHeight="1">
      <c r="A116" s="176" t="s">
        <v>258</v>
      </c>
      <c r="B116" s="177">
        <v>21250</v>
      </c>
      <c r="C116" s="177">
        <v>38150</v>
      </c>
      <c r="D116" s="177">
        <v>22235</v>
      </c>
      <c r="E116" s="178">
        <v>12500</v>
      </c>
      <c r="F116" s="218">
        <f t="shared" si="1"/>
        <v>1041.6666666666667</v>
      </c>
      <c r="G116" s="48"/>
      <c r="H116" s="80"/>
      <c r="I116" s="50"/>
      <c r="J116" s="64"/>
    </row>
    <row r="117" spans="1:10" ht="15.75" customHeight="1">
      <c r="A117" s="44" t="s">
        <v>259</v>
      </c>
      <c r="B117" s="77"/>
      <c r="C117" s="77"/>
      <c r="D117" s="77"/>
      <c r="E117" s="85"/>
      <c r="F117" s="218">
        <f t="shared" si="1"/>
        <v>0</v>
      </c>
      <c r="G117" s="48"/>
      <c r="H117" s="80"/>
      <c r="I117" s="50"/>
      <c r="J117" s="51"/>
    </row>
    <row r="118" spans="1:10" ht="15.75" customHeight="1">
      <c r="A118" s="68" t="s">
        <v>260</v>
      </c>
      <c r="B118" s="77">
        <v>3000</v>
      </c>
      <c r="C118" s="77">
        <v>3500</v>
      </c>
      <c r="D118" s="77">
        <v>0</v>
      </c>
      <c r="E118" s="85">
        <v>0</v>
      </c>
      <c r="F118" s="218">
        <f t="shared" si="1"/>
        <v>0</v>
      </c>
      <c r="G118" s="48"/>
      <c r="H118" s="80" t="b">
        <v>0</v>
      </c>
      <c r="I118" s="50"/>
      <c r="J118" s="51"/>
    </row>
    <row r="119" spans="1:10" ht="19.5" customHeight="1">
      <c r="A119" s="68" t="s">
        <v>261</v>
      </c>
      <c r="B119" s="77">
        <v>4625</v>
      </c>
      <c r="C119" s="77">
        <v>3500</v>
      </c>
      <c r="D119" s="77">
        <v>947</v>
      </c>
      <c r="E119" s="85">
        <v>4625</v>
      </c>
      <c r="F119" s="218">
        <f t="shared" si="1"/>
        <v>385.41666666666669</v>
      </c>
      <c r="G119" s="179"/>
      <c r="H119" s="180" t="b">
        <v>0</v>
      </c>
      <c r="I119" s="181" t="s">
        <v>262</v>
      </c>
      <c r="J119" s="51"/>
    </row>
    <row r="120" spans="1:10" ht="15.75" customHeight="1">
      <c r="A120" s="68" t="s">
        <v>263</v>
      </c>
      <c r="B120" s="128">
        <v>1000</v>
      </c>
      <c r="C120" s="77">
        <v>2000</v>
      </c>
      <c r="D120" s="77">
        <v>126</v>
      </c>
      <c r="E120" s="85">
        <v>250</v>
      </c>
      <c r="F120" s="218">
        <f t="shared" si="1"/>
        <v>20.833333333333332</v>
      </c>
      <c r="G120" s="48"/>
      <c r="H120" s="80" t="b">
        <v>0</v>
      </c>
      <c r="I120" s="50" t="s">
        <v>264</v>
      </c>
      <c r="J120" s="51"/>
    </row>
    <row r="121" spans="1:10" ht="15.75" customHeight="1">
      <c r="A121" s="68" t="s">
        <v>265</v>
      </c>
      <c r="B121" s="128">
        <v>2000</v>
      </c>
      <c r="C121" s="77">
        <v>5000</v>
      </c>
      <c r="D121" s="77">
        <v>123</v>
      </c>
      <c r="E121" s="85">
        <v>1200</v>
      </c>
      <c r="F121" s="218">
        <f t="shared" si="1"/>
        <v>100</v>
      </c>
      <c r="G121" s="48" t="s">
        <v>199</v>
      </c>
      <c r="H121" s="80" t="b">
        <v>0</v>
      </c>
      <c r="I121" s="50" t="s">
        <v>266</v>
      </c>
      <c r="J121" s="51"/>
    </row>
    <row r="122" spans="1:10" ht="15.75" customHeight="1">
      <c r="A122" s="137" t="s">
        <v>267</v>
      </c>
      <c r="B122" s="182">
        <v>10625</v>
      </c>
      <c r="C122" s="182">
        <v>14000</v>
      </c>
      <c r="D122" s="182">
        <v>1196</v>
      </c>
      <c r="E122" s="183">
        <v>6075</v>
      </c>
      <c r="F122" s="218">
        <f t="shared" si="1"/>
        <v>506.25</v>
      </c>
      <c r="G122" s="48"/>
      <c r="H122" s="80"/>
      <c r="I122" s="50"/>
      <c r="J122" s="64"/>
    </row>
    <row r="123" spans="1:10" ht="15.75" customHeight="1">
      <c r="A123" s="184" t="s">
        <v>268</v>
      </c>
      <c r="B123" s="185">
        <v>121125</v>
      </c>
      <c r="C123" s="185">
        <v>125150</v>
      </c>
      <c r="D123" s="185">
        <v>71986</v>
      </c>
      <c r="E123" s="186">
        <v>108325</v>
      </c>
      <c r="F123" s="218">
        <f t="shared" si="1"/>
        <v>9027.0833333333339</v>
      </c>
      <c r="G123" s="48"/>
      <c r="H123" s="80"/>
      <c r="I123" s="187">
        <f>E122+E116+E78+E71+E60</f>
        <v>108325</v>
      </c>
      <c r="J123" s="64"/>
    </row>
    <row r="124" spans="1:10" ht="9.75" customHeight="1">
      <c r="A124" s="188"/>
      <c r="B124" s="100"/>
      <c r="C124" s="100"/>
      <c r="D124" s="100"/>
      <c r="E124" s="102"/>
      <c r="F124" s="218">
        <f t="shared" si="1"/>
        <v>0</v>
      </c>
      <c r="G124" s="48"/>
      <c r="H124" s="80"/>
      <c r="I124" s="50"/>
      <c r="J124" s="64"/>
    </row>
    <row r="125" spans="1:10" ht="17.25" customHeight="1">
      <c r="A125" s="189" t="s">
        <v>113</v>
      </c>
      <c r="B125" s="190">
        <v>1074338.3840000001</v>
      </c>
      <c r="C125" s="190">
        <v>1036546</v>
      </c>
      <c r="D125" s="190">
        <v>965548</v>
      </c>
      <c r="E125" s="191">
        <v>1051415</v>
      </c>
      <c r="F125" s="218">
        <f t="shared" si="1"/>
        <v>87617.916666666672</v>
      </c>
      <c r="G125" s="48"/>
      <c r="H125" s="80"/>
      <c r="I125" s="50"/>
      <c r="J125" s="64"/>
    </row>
    <row r="126" spans="1:10" ht="10.5" customHeight="1">
      <c r="A126" s="100"/>
      <c r="B126" s="192"/>
      <c r="C126" s="193"/>
      <c r="D126" s="193"/>
      <c r="E126" s="194"/>
      <c r="F126" s="218">
        <f t="shared" si="1"/>
        <v>0</v>
      </c>
      <c r="G126" s="48"/>
      <c r="H126" s="49"/>
      <c r="I126" s="50"/>
      <c r="J126" s="64"/>
    </row>
    <row r="127" spans="1:10" ht="46.5" customHeight="1">
      <c r="A127" s="100"/>
      <c r="B127" s="195" t="s">
        <v>116</v>
      </c>
      <c r="C127" s="196" t="s">
        <v>117</v>
      </c>
      <c r="D127" s="196" t="s">
        <v>118</v>
      </c>
      <c r="E127" s="197" t="s">
        <v>269</v>
      </c>
      <c r="F127" s="218" t="e">
        <f t="shared" si="1"/>
        <v>#VALUE!</v>
      </c>
      <c r="G127" s="48"/>
      <c r="H127" s="49"/>
      <c r="I127" s="50"/>
      <c r="J127" s="64"/>
    </row>
    <row r="128" spans="1:10" ht="17.25" customHeight="1">
      <c r="A128" s="103" t="s">
        <v>151</v>
      </c>
      <c r="B128" s="104">
        <v>929921.09857000003</v>
      </c>
      <c r="C128" s="104">
        <v>1344191</v>
      </c>
      <c r="D128" s="104">
        <f>D25</f>
        <v>1229867</v>
      </c>
      <c r="E128" s="198">
        <f>E25</f>
        <v>962566</v>
      </c>
      <c r="F128" s="218">
        <f t="shared" si="1"/>
        <v>80213.833333333328</v>
      </c>
      <c r="G128" s="48"/>
      <c r="H128" s="80"/>
      <c r="I128" s="50"/>
      <c r="J128" s="64"/>
    </row>
    <row r="129" spans="1:10" ht="15.75" customHeight="1">
      <c r="A129" s="199" t="s">
        <v>270</v>
      </c>
      <c r="B129" s="200">
        <v>-144417.28543000005</v>
      </c>
      <c r="C129" s="200">
        <v>307645</v>
      </c>
      <c r="D129" s="200">
        <f>D128-D125</f>
        <v>264319</v>
      </c>
      <c r="E129" s="201">
        <f>E25-E125</f>
        <v>-88849</v>
      </c>
      <c r="F129" s="218">
        <f t="shared" si="1"/>
        <v>-7404.083333333333</v>
      </c>
      <c r="G129" s="48"/>
      <c r="H129" s="49"/>
      <c r="I129" s="50"/>
      <c r="J129" s="64"/>
    </row>
    <row r="130" spans="1:10" ht="15.75" customHeight="1">
      <c r="A130" s="202" t="s">
        <v>271</v>
      </c>
      <c r="B130" s="202"/>
      <c r="C130" s="203"/>
      <c r="D130" s="202">
        <v>412232</v>
      </c>
      <c r="E130" s="204" t="s">
        <v>272</v>
      </c>
      <c r="F130" s="218" t="e">
        <f t="shared" si="1"/>
        <v>#VALUE!</v>
      </c>
      <c r="G130" s="48"/>
      <c r="H130" s="49"/>
      <c r="I130" s="50"/>
      <c r="J130" s="64"/>
    </row>
    <row r="131" spans="1:10" ht="15.75" customHeight="1">
      <c r="A131" s="202" t="s">
        <v>273</v>
      </c>
      <c r="B131" s="202">
        <v>0</v>
      </c>
      <c r="C131" s="203"/>
      <c r="E131" s="204"/>
      <c r="F131" s="218">
        <f t="shared" si="1"/>
        <v>0</v>
      </c>
      <c r="G131" s="48"/>
      <c r="H131" s="49"/>
      <c r="I131" s="50"/>
      <c r="J131" s="64"/>
    </row>
    <row r="132" spans="1:10" ht="15.75" customHeight="1">
      <c r="A132" s="205" t="s">
        <v>274</v>
      </c>
      <c r="B132" s="206"/>
      <c r="C132" s="206"/>
      <c r="D132" s="206"/>
      <c r="E132" s="207">
        <v>150000</v>
      </c>
      <c r="F132" s="218">
        <f t="shared" si="1"/>
        <v>12500</v>
      </c>
    </row>
    <row r="133" spans="1:10" ht="15.75" customHeight="1">
      <c r="A133" s="205" t="s">
        <v>275</v>
      </c>
      <c r="B133" s="205">
        <v>225000</v>
      </c>
      <c r="C133" s="206"/>
      <c r="D133" s="206"/>
      <c r="E133" s="207">
        <v>225000</v>
      </c>
      <c r="F133" s="218">
        <f t="shared" si="1"/>
        <v>18750</v>
      </c>
    </row>
    <row r="134" spans="1:10" ht="9" customHeight="1">
      <c r="A134" s="208"/>
      <c r="B134" s="76"/>
      <c r="C134" s="76"/>
      <c r="D134" s="76"/>
      <c r="E134" s="136"/>
      <c r="F134" s="218">
        <f t="shared" si="1"/>
        <v>0</v>
      </c>
      <c r="G134" s="48"/>
      <c r="H134" s="49"/>
      <c r="I134" s="50"/>
      <c r="J134" s="64"/>
    </row>
    <row r="135" spans="1:10" ht="15.75" customHeight="1">
      <c r="A135" s="199" t="s">
        <v>276</v>
      </c>
      <c r="B135" s="209">
        <v>80582.714569999953</v>
      </c>
      <c r="C135" s="209"/>
      <c r="D135" s="209"/>
      <c r="E135" s="210">
        <f>E129+E132</f>
        <v>61151</v>
      </c>
      <c r="F135" s="218">
        <f t="shared" si="1"/>
        <v>5095.916666666667</v>
      </c>
      <c r="G135" s="48"/>
      <c r="H135" s="49"/>
      <c r="I135" s="50"/>
      <c r="J135" s="64"/>
    </row>
    <row r="136" spans="1:10" ht="15.75" customHeight="1" thickBot="1">
      <c r="A136" s="199" t="s">
        <v>277</v>
      </c>
      <c r="B136" s="209"/>
      <c r="C136" s="209"/>
      <c r="D136" s="209"/>
      <c r="E136" s="211">
        <f>E129+E133</f>
        <v>136151</v>
      </c>
      <c r="F136" s="218">
        <f>+E136/12</f>
        <v>11345.916666666666</v>
      </c>
      <c r="G136" s="48"/>
      <c r="H136" s="49"/>
      <c r="I136" s="50"/>
      <c r="J136" s="64"/>
    </row>
    <row r="137" spans="1:10" ht="15.75" customHeight="1" thickTop="1">
      <c r="B137" s="212" t="s">
        <v>278</v>
      </c>
      <c r="C137" s="77"/>
      <c r="D137" s="46"/>
      <c r="E137" s="213"/>
      <c r="G137" s="48"/>
      <c r="H137" s="49"/>
      <c r="I137" s="50"/>
      <c r="J137" s="51"/>
    </row>
    <row r="138" spans="1:10" ht="15.75" customHeight="1">
      <c r="A138" s="214"/>
      <c r="B138" s="212" t="s">
        <v>279</v>
      </c>
      <c r="C138" s="77"/>
      <c r="D138" s="46"/>
      <c r="E138" s="213"/>
      <c r="G138" s="48"/>
      <c r="H138" s="49"/>
      <c r="I138" s="50"/>
      <c r="J138" s="51"/>
    </row>
    <row r="139" spans="1:10" ht="15.75" customHeight="1">
      <c r="B139" s="212" t="s">
        <v>280</v>
      </c>
      <c r="C139" s="77"/>
      <c r="D139" s="46"/>
      <c r="E139" s="213"/>
      <c r="G139" s="48"/>
      <c r="H139" s="49"/>
      <c r="I139" s="50"/>
      <c r="J139" s="51"/>
    </row>
    <row r="140" spans="1:10" ht="15.75" customHeight="1">
      <c r="A140" s="214"/>
      <c r="B140" s="212" t="s">
        <v>281</v>
      </c>
      <c r="C140" s="77"/>
      <c r="D140" s="46"/>
      <c r="E140" s="213"/>
      <c r="G140" s="48"/>
      <c r="H140" s="49"/>
      <c r="I140" s="50"/>
      <c r="J140" s="51"/>
    </row>
    <row r="141" spans="1:10" ht="12.75" customHeight="1">
      <c r="B141" s="77"/>
      <c r="C141" s="77"/>
      <c r="D141" s="46"/>
      <c r="E141" s="213"/>
      <c r="G141" s="48"/>
      <c r="H141" s="49"/>
      <c r="I141" s="50"/>
      <c r="J141" s="51"/>
    </row>
    <row r="142" spans="1:10" ht="12.75" customHeight="1">
      <c r="A142" s="215" t="s">
        <v>282</v>
      </c>
      <c r="B142" s="77"/>
      <c r="C142" s="77"/>
      <c r="D142" s="46"/>
      <c r="E142" s="213"/>
      <c r="G142" s="48"/>
      <c r="H142" s="49"/>
      <c r="I142" s="50"/>
      <c r="J142" s="51"/>
    </row>
    <row r="143" spans="1:10" ht="12.75" customHeight="1">
      <c r="A143" s="68"/>
      <c r="B143" s="77"/>
      <c r="C143" s="77"/>
      <c r="D143" s="46"/>
      <c r="E143" s="213"/>
      <c r="G143" s="48"/>
      <c r="H143" s="49"/>
      <c r="I143" s="50"/>
      <c r="J143" s="51"/>
    </row>
    <row r="144" spans="1:10" ht="12.75" customHeight="1">
      <c r="A144" s="68"/>
      <c r="B144" s="95"/>
      <c r="C144" s="95"/>
      <c r="D144" s="46"/>
      <c r="E144" s="216"/>
      <c r="G144" s="48"/>
      <c r="H144" s="49"/>
      <c r="I144" s="50"/>
      <c r="J144" s="51"/>
    </row>
    <row r="145" spans="1:10" ht="12.75" customHeight="1">
      <c r="A145" s="68"/>
      <c r="B145" s="95"/>
      <c r="C145" s="95"/>
      <c r="D145" s="46"/>
      <c r="E145" s="216"/>
      <c r="G145" s="48"/>
      <c r="H145" s="49"/>
      <c r="I145" s="50"/>
      <c r="J145" s="51"/>
    </row>
    <row r="146" spans="1:10" ht="12.75" customHeight="1">
      <c r="A146" s="68"/>
      <c r="B146" s="95"/>
      <c r="C146" s="95"/>
      <c r="D146" s="46"/>
      <c r="E146" s="216"/>
      <c r="G146" s="48"/>
      <c r="H146" s="49"/>
      <c r="I146" s="50"/>
      <c r="J146" s="51"/>
    </row>
    <row r="147" spans="1:10" ht="12.75" customHeight="1">
      <c r="A147" s="181" t="s">
        <v>283</v>
      </c>
      <c r="B147" s="95"/>
      <c r="C147" s="95"/>
      <c r="D147" s="46"/>
      <c r="E147" s="216"/>
      <c r="G147" s="48"/>
      <c r="H147" s="49"/>
      <c r="I147" s="50"/>
      <c r="J147" s="51"/>
    </row>
    <row r="148" spans="1:10" ht="12.75" customHeight="1">
      <c r="A148" s="181" t="s">
        <v>284</v>
      </c>
      <c r="B148" s="95"/>
      <c r="C148" s="95"/>
      <c r="D148" s="46"/>
      <c r="E148" s="216"/>
      <c r="G148" s="48"/>
      <c r="H148" s="49"/>
      <c r="I148" s="50"/>
      <c r="J148" s="51"/>
    </row>
    <row r="149" spans="1:10" ht="12.75" customHeight="1">
      <c r="A149" s="68"/>
      <c r="B149" s="95"/>
      <c r="C149" s="95"/>
      <c r="D149" s="46"/>
      <c r="E149" s="216"/>
      <c r="G149" s="48"/>
      <c r="H149" s="49"/>
      <c r="I149" s="50"/>
      <c r="J149" s="51"/>
    </row>
    <row r="150" spans="1:10" ht="12.75" customHeight="1">
      <c r="A150" s="68"/>
      <c r="B150" s="95"/>
      <c r="C150" s="95"/>
      <c r="D150" s="46"/>
      <c r="E150" s="216"/>
      <c r="G150" s="48"/>
      <c r="H150" s="49"/>
      <c r="I150" s="50"/>
      <c r="J150" s="51"/>
    </row>
    <row r="151" spans="1:10" ht="37.5" customHeight="1">
      <c r="A151" s="217" t="s">
        <v>285</v>
      </c>
      <c r="B151" s="95"/>
      <c r="C151" s="95"/>
      <c r="D151" s="46"/>
      <c r="E151" s="216"/>
      <c r="G151" s="48"/>
      <c r="H151" s="49"/>
      <c r="I151" s="50"/>
      <c r="J151" s="51"/>
    </row>
    <row r="152" spans="1:10" ht="12.75" customHeight="1">
      <c r="A152" s="68"/>
      <c r="B152" s="95"/>
      <c r="C152" s="95"/>
      <c r="D152" s="46"/>
      <c r="E152" s="216"/>
      <c r="G152" s="48"/>
      <c r="H152" s="49"/>
      <c r="I152" s="50"/>
      <c r="J152" s="51"/>
    </row>
    <row r="153" spans="1:10" ht="12.75" customHeight="1">
      <c r="A153" s="68"/>
      <c r="B153" s="95"/>
      <c r="C153" s="95"/>
      <c r="D153" s="46"/>
      <c r="E153" s="216"/>
      <c r="G153" s="48"/>
      <c r="H153" s="49"/>
      <c r="I153" s="50"/>
      <c r="J153" s="51"/>
    </row>
    <row r="154" spans="1:10" ht="12.75" customHeight="1">
      <c r="A154" s="68"/>
      <c r="B154" s="95"/>
      <c r="C154" s="95"/>
      <c r="D154" s="46"/>
      <c r="E154" s="216"/>
      <c r="G154" s="48"/>
      <c r="H154" s="49"/>
      <c r="I154" s="50"/>
      <c r="J154" s="51"/>
    </row>
    <row r="155" spans="1:10" ht="12.75" customHeight="1">
      <c r="A155" s="68"/>
      <c r="B155" s="95"/>
      <c r="C155" s="95"/>
      <c r="D155" s="46"/>
      <c r="E155" s="216"/>
      <c r="G155" s="48"/>
      <c r="H155" s="49"/>
      <c r="I155" s="50"/>
      <c r="J155" s="51"/>
    </row>
    <row r="156" spans="1:10" ht="12.75" customHeight="1">
      <c r="A156" s="68"/>
      <c r="B156" s="95"/>
      <c r="C156" s="95"/>
      <c r="D156" s="46"/>
      <c r="E156" s="216"/>
      <c r="G156" s="48"/>
      <c r="H156" s="49"/>
      <c r="I156" s="50"/>
      <c r="J156" s="51"/>
    </row>
    <row r="157" spans="1:10" ht="12.75" customHeight="1">
      <c r="A157" s="68"/>
      <c r="B157" s="95"/>
      <c r="C157" s="95"/>
      <c r="D157" s="46"/>
      <c r="E157" s="216"/>
      <c r="G157" s="48"/>
      <c r="H157" s="49"/>
      <c r="I157" s="50"/>
      <c r="J157" s="51"/>
    </row>
    <row r="158" spans="1:10" ht="12.75" customHeight="1">
      <c r="A158" s="68"/>
      <c r="B158" s="95"/>
      <c r="C158" s="95"/>
      <c r="D158" s="46"/>
      <c r="E158" s="216"/>
      <c r="G158" s="48"/>
      <c r="H158" s="49"/>
      <c r="I158" s="50"/>
      <c r="J158" s="51"/>
    </row>
    <row r="159" spans="1:10" ht="12.75" customHeight="1">
      <c r="A159" s="68"/>
      <c r="B159" s="95"/>
      <c r="C159" s="95"/>
      <c r="D159" s="46"/>
      <c r="E159" s="216"/>
      <c r="G159" s="48"/>
      <c r="H159" s="49"/>
      <c r="I159" s="50"/>
      <c r="J159" s="51"/>
    </row>
    <row r="160" spans="1:10" ht="12.75" customHeight="1">
      <c r="A160" s="68"/>
      <c r="B160" s="95"/>
      <c r="C160" s="95"/>
      <c r="D160" s="46"/>
      <c r="E160" s="216"/>
      <c r="G160" s="48"/>
      <c r="H160" s="49"/>
      <c r="I160" s="50"/>
      <c r="J160" s="51"/>
    </row>
    <row r="161" spans="1:10" ht="12.75" customHeight="1">
      <c r="A161" s="68"/>
      <c r="B161" s="95"/>
      <c r="C161" s="95"/>
      <c r="D161" s="46"/>
      <c r="E161" s="216"/>
      <c r="G161" s="48"/>
      <c r="H161" s="49"/>
      <c r="I161" s="50"/>
      <c r="J161" s="51"/>
    </row>
    <row r="162" spans="1:10" ht="12.75" customHeight="1">
      <c r="A162" s="68"/>
      <c r="B162" s="95"/>
      <c r="C162" s="95"/>
      <c r="D162" s="46"/>
      <c r="E162" s="216"/>
      <c r="G162" s="48"/>
      <c r="H162" s="49"/>
      <c r="I162" s="50"/>
      <c r="J162" s="51"/>
    </row>
    <row r="163" spans="1:10" ht="12.75" customHeight="1">
      <c r="A163" s="68"/>
      <c r="B163" s="95"/>
      <c r="C163" s="95"/>
      <c r="D163" s="46"/>
      <c r="E163" s="216"/>
      <c r="G163" s="48"/>
      <c r="H163" s="49"/>
      <c r="I163" s="50"/>
      <c r="J163" s="51"/>
    </row>
    <row r="164" spans="1:10" ht="12.75" customHeight="1">
      <c r="A164" s="68"/>
      <c r="B164" s="95"/>
      <c r="C164" s="95"/>
      <c r="D164" s="46"/>
      <c r="E164" s="216"/>
      <c r="G164" s="48"/>
      <c r="H164" s="49"/>
      <c r="I164" s="50"/>
      <c r="J164" s="51"/>
    </row>
    <row r="165" spans="1:10" ht="12.75" customHeight="1">
      <c r="A165" s="68"/>
      <c r="B165" s="95"/>
      <c r="C165" s="95"/>
      <c r="D165" s="46"/>
      <c r="E165" s="216"/>
      <c r="G165" s="48"/>
      <c r="H165" s="49"/>
      <c r="I165" s="50"/>
      <c r="J165" s="51"/>
    </row>
    <row r="166" spans="1:10" ht="18" customHeight="1">
      <c r="A166" s="68"/>
      <c r="B166" s="95"/>
      <c r="C166" s="95"/>
      <c r="D166" s="46"/>
      <c r="E166" s="216"/>
      <c r="G166" s="48"/>
      <c r="H166" s="49"/>
      <c r="I166" s="50"/>
      <c r="J166" s="51"/>
    </row>
    <row r="167" spans="1:10" ht="18" customHeight="1">
      <c r="A167" s="68"/>
      <c r="B167" s="95"/>
      <c r="C167" s="95"/>
      <c r="D167" s="46"/>
      <c r="E167" s="216"/>
      <c r="G167" s="48"/>
      <c r="H167" s="49"/>
      <c r="I167" s="50"/>
      <c r="J167" s="51"/>
    </row>
    <row r="168" spans="1:10" ht="18" customHeight="1">
      <c r="A168" s="68"/>
      <c r="B168" s="95"/>
      <c r="C168" s="95"/>
      <c r="D168" s="46"/>
      <c r="E168" s="216"/>
      <c r="G168" s="48"/>
      <c r="H168" s="49"/>
      <c r="I168" s="50"/>
      <c r="J168" s="51"/>
    </row>
    <row r="169" spans="1:10" ht="18" customHeight="1">
      <c r="A169" s="68"/>
      <c r="B169" s="95"/>
      <c r="C169" s="95"/>
      <c r="D169" s="46"/>
      <c r="E169" s="216"/>
      <c r="G169" s="48"/>
      <c r="H169" s="49"/>
      <c r="I169" s="50"/>
      <c r="J169" s="51"/>
    </row>
    <row r="170" spans="1:10" ht="18" customHeight="1">
      <c r="A170" s="68"/>
      <c r="B170" s="95"/>
      <c r="C170" s="95"/>
      <c r="D170" s="46"/>
      <c r="E170" s="216"/>
      <c r="G170" s="48"/>
      <c r="H170" s="49"/>
      <c r="I170" s="50"/>
      <c r="J170" s="51"/>
    </row>
    <row r="171" spans="1:10" ht="18" customHeight="1">
      <c r="A171" s="68"/>
      <c r="B171" s="95"/>
      <c r="C171" s="95"/>
      <c r="D171" s="46"/>
      <c r="E171" s="216"/>
      <c r="G171" s="48"/>
      <c r="H171" s="49"/>
      <c r="I171" s="50"/>
      <c r="J171" s="51"/>
    </row>
    <row r="172" spans="1:10" ht="18" customHeight="1">
      <c r="A172" s="68"/>
      <c r="B172" s="95"/>
      <c r="C172" s="95"/>
      <c r="D172" s="46"/>
      <c r="E172" s="216"/>
      <c r="G172" s="48"/>
      <c r="H172" s="49"/>
      <c r="I172" s="50"/>
      <c r="J172" s="51"/>
    </row>
    <row r="173" spans="1:10" ht="18" customHeight="1">
      <c r="A173" s="68"/>
      <c r="B173" s="95"/>
      <c r="C173" s="95"/>
      <c r="D173" s="46"/>
      <c r="E173" s="216"/>
      <c r="G173" s="48"/>
      <c r="H173" s="49"/>
      <c r="I173" s="50"/>
      <c r="J173" s="51"/>
    </row>
    <row r="174" spans="1:10" ht="18" customHeight="1">
      <c r="A174" s="68"/>
      <c r="B174" s="95"/>
      <c r="C174" s="95"/>
      <c r="D174" s="46"/>
      <c r="E174" s="216"/>
      <c r="G174" s="48"/>
      <c r="H174" s="49"/>
      <c r="I174" s="50"/>
      <c r="J174" s="51"/>
    </row>
    <row r="175" spans="1:10" ht="18" customHeight="1">
      <c r="A175" s="68"/>
      <c r="B175" s="95"/>
      <c r="C175" s="95"/>
      <c r="D175" s="46"/>
      <c r="E175" s="216"/>
      <c r="G175" s="48"/>
      <c r="H175" s="49"/>
      <c r="I175" s="50"/>
      <c r="J175" s="51"/>
    </row>
    <row r="176" spans="1:10" ht="18" customHeight="1">
      <c r="A176" s="68"/>
      <c r="B176" s="95"/>
      <c r="C176" s="95"/>
      <c r="D176" s="46"/>
      <c r="E176" s="216"/>
      <c r="G176" s="48"/>
      <c r="H176" s="49"/>
      <c r="I176" s="50"/>
      <c r="J176" s="51"/>
    </row>
    <row r="177" spans="1:10" ht="18" customHeight="1">
      <c r="A177" s="68"/>
      <c r="B177" s="95"/>
      <c r="C177" s="95"/>
      <c r="D177" s="46"/>
      <c r="E177" s="216"/>
      <c r="G177" s="48"/>
      <c r="H177" s="49"/>
      <c r="I177" s="50"/>
      <c r="J177" s="51"/>
    </row>
    <row r="178" spans="1:10" ht="18" customHeight="1">
      <c r="A178" s="68"/>
      <c r="B178" s="95"/>
      <c r="C178" s="95"/>
      <c r="D178" s="46"/>
      <c r="E178" s="216"/>
      <c r="G178" s="48"/>
      <c r="H178" s="49"/>
      <c r="I178" s="50"/>
      <c r="J178" s="51"/>
    </row>
    <row r="179" spans="1:10" ht="18" customHeight="1">
      <c r="A179" s="68"/>
      <c r="B179" s="95"/>
      <c r="C179" s="95"/>
      <c r="D179" s="46"/>
      <c r="E179" s="216"/>
      <c r="G179" s="48"/>
      <c r="H179" s="49"/>
      <c r="I179" s="50"/>
      <c r="J179" s="51"/>
    </row>
    <row r="180" spans="1:10" ht="18" customHeight="1">
      <c r="A180" s="68"/>
      <c r="B180" s="95"/>
      <c r="C180" s="95"/>
      <c r="D180" s="46"/>
      <c r="E180" s="216"/>
      <c r="G180" s="48"/>
      <c r="H180" s="49"/>
      <c r="I180" s="50"/>
      <c r="J180" s="51"/>
    </row>
    <row r="181" spans="1:10" ht="18" customHeight="1">
      <c r="A181" s="68"/>
      <c r="B181" s="95"/>
      <c r="C181" s="95"/>
      <c r="D181" s="46"/>
      <c r="E181" s="216"/>
      <c r="G181" s="48"/>
      <c r="H181" s="49"/>
      <c r="I181" s="50"/>
      <c r="J181" s="51"/>
    </row>
    <row r="182" spans="1:10" ht="18" customHeight="1">
      <c r="A182" s="68"/>
      <c r="B182" s="95"/>
      <c r="C182" s="95"/>
      <c r="D182" s="46"/>
      <c r="E182" s="216"/>
      <c r="G182" s="48"/>
      <c r="H182" s="49"/>
      <c r="I182" s="50"/>
      <c r="J182" s="51"/>
    </row>
    <row r="183" spans="1:10" ht="18" customHeight="1">
      <c r="A183" s="68"/>
      <c r="B183" s="95"/>
      <c r="C183" s="95"/>
      <c r="D183" s="46"/>
      <c r="E183" s="216"/>
      <c r="G183" s="48"/>
      <c r="H183" s="49"/>
      <c r="I183" s="50"/>
      <c r="J183" s="51"/>
    </row>
    <row r="184" spans="1:10" ht="18" customHeight="1">
      <c r="A184" s="68"/>
      <c r="B184" s="95"/>
      <c r="C184" s="95"/>
      <c r="D184" s="46"/>
      <c r="E184" s="216"/>
      <c r="G184" s="48"/>
      <c r="H184" s="49"/>
      <c r="I184" s="50"/>
      <c r="J184" s="51"/>
    </row>
    <row r="185" spans="1:10" ht="18" customHeight="1">
      <c r="A185" s="68"/>
      <c r="B185" s="95"/>
      <c r="C185" s="95"/>
      <c r="D185" s="46"/>
      <c r="E185" s="216"/>
      <c r="G185" s="48"/>
      <c r="H185" s="49"/>
      <c r="I185" s="50"/>
      <c r="J185" s="51"/>
    </row>
    <row r="186" spans="1:10" ht="18" customHeight="1">
      <c r="A186" s="68"/>
      <c r="B186" s="95"/>
      <c r="C186" s="95"/>
      <c r="D186" s="46"/>
      <c r="E186" s="216"/>
      <c r="G186" s="48"/>
      <c r="H186" s="49"/>
      <c r="I186" s="50"/>
      <c r="J186" s="51"/>
    </row>
    <row r="187" spans="1:10" ht="18" customHeight="1">
      <c r="A187" s="68"/>
      <c r="B187" s="95"/>
      <c r="C187" s="95"/>
      <c r="D187" s="46"/>
      <c r="E187" s="216"/>
      <c r="G187" s="48"/>
      <c r="H187" s="49"/>
      <c r="I187" s="50"/>
      <c r="J187" s="51"/>
    </row>
    <row r="188" spans="1:10" ht="18" customHeight="1">
      <c r="A188" s="68"/>
      <c r="B188" s="95"/>
      <c r="C188" s="95"/>
      <c r="D188" s="46"/>
      <c r="E188" s="216"/>
      <c r="G188" s="48"/>
      <c r="H188" s="49"/>
      <c r="I188" s="50"/>
      <c r="J188" s="51"/>
    </row>
    <row r="189" spans="1:10" ht="18" customHeight="1">
      <c r="A189" s="68"/>
      <c r="B189" s="95"/>
      <c r="C189" s="95"/>
      <c r="D189" s="46"/>
      <c r="E189" s="216"/>
      <c r="G189" s="48"/>
      <c r="H189" s="49"/>
      <c r="I189" s="50"/>
      <c r="J189" s="51"/>
    </row>
    <row r="190" spans="1:10" ht="18" customHeight="1">
      <c r="A190" s="68"/>
      <c r="B190" s="95"/>
      <c r="C190" s="95"/>
      <c r="D190" s="46"/>
      <c r="E190" s="216"/>
      <c r="G190" s="48"/>
      <c r="H190" s="49"/>
      <c r="I190" s="50"/>
      <c r="J190" s="51"/>
    </row>
    <row r="191" spans="1:10" ht="18" customHeight="1">
      <c r="A191" s="68"/>
      <c r="B191" s="95"/>
      <c r="C191" s="95"/>
      <c r="D191" s="46"/>
      <c r="E191" s="216"/>
      <c r="G191" s="48"/>
      <c r="H191" s="49"/>
      <c r="I191" s="50"/>
      <c r="J191" s="51"/>
    </row>
    <row r="192" spans="1:10" ht="18" customHeight="1">
      <c r="A192" s="68"/>
      <c r="B192" s="95"/>
      <c r="C192" s="95"/>
      <c r="D192" s="46"/>
      <c r="E192" s="216"/>
      <c r="G192" s="48"/>
      <c r="H192" s="49"/>
      <c r="I192" s="50"/>
      <c r="J192" s="51"/>
    </row>
    <row r="193" spans="1:10" ht="18" customHeight="1">
      <c r="A193" s="68"/>
      <c r="B193" s="95"/>
      <c r="C193" s="95"/>
      <c r="D193" s="46"/>
      <c r="E193" s="216"/>
      <c r="G193" s="48"/>
      <c r="H193" s="49"/>
      <c r="I193" s="50"/>
      <c r="J193" s="51"/>
    </row>
    <row r="194" spans="1:10" ht="18" customHeight="1">
      <c r="A194" s="68"/>
      <c r="B194" s="95"/>
      <c r="C194" s="95"/>
      <c r="D194" s="46"/>
      <c r="E194" s="216"/>
      <c r="G194" s="48"/>
      <c r="H194" s="49"/>
      <c r="I194" s="50"/>
      <c r="J194" s="51"/>
    </row>
    <row r="195" spans="1:10" ht="18" customHeight="1">
      <c r="A195" s="68"/>
      <c r="B195" s="95"/>
      <c r="C195" s="95"/>
      <c r="D195" s="46"/>
      <c r="E195" s="216"/>
      <c r="G195" s="48"/>
      <c r="H195" s="49"/>
      <c r="I195" s="50"/>
      <c r="J195" s="51"/>
    </row>
    <row r="196" spans="1:10" ht="18" customHeight="1">
      <c r="A196" s="68"/>
      <c r="B196" s="95"/>
      <c r="C196" s="95"/>
      <c r="D196" s="46"/>
      <c r="E196" s="216"/>
      <c r="G196" s="48"/>
      <c r="H196" s="49"/>
      <c r="I196" s="50"/>
      <c r="J196" s="51"/>
    </row>
    <row r="197" spans="1:10" ht="18" customHeight="1">
      <c r="A197" s="68"/>
      <c r="B197" s="95"/>
      <c r="C197" s="95"/>
      <c r="D197" s="46"/>
      <c r="E197" s="216"/>
      <c r="G197" s="48"/>
      <c r="H197" s="49"/>
      <c r="I197" s="50"/>
      <c r="J197" s="51"/>
    </row>
    <row r="198" spans="1:10" ht="18" customHeight="1">
      <c r="A198" s="68"/>
      <c r="B198" s="95"/>
      <c r="C198" s="95"/>
      <c r="D198" s="46"/>
      <c r="E198" s="216"/>
      <c r="G198" s="48"/>
      <c r="H198" s="49"/>
      <c r="I198" s="50"/>
      <c r="J198" s="51"/>
    </row>
    <row r="199" spans="1:10" ht="18" customHeight="1">
      <c r="A199" s="68"/>
      <c r="B199" s="95"/>
      <c r="C199" s="95"/>
      <c r="D199" s="46"/>
      <c r="E199" s="216"/>
      <c r="G199" s="48"/>
      <c r="H199" s="49"/>
      <c r="I199" s="50"/>
      <c r="J199" s="51"/>
    </row>
    <row r="200" spans="1:10" ht="18" customHeight="1">
      <c r="A200" s="68"/>
      <c r="B200" s="95"/>
      <c r="C200" s="95"/>
      <c r="D200" s="46"/>
      <c r="E200" s="216"/>
      <c r="G200" s="48"/>
      <c r="H200" s="49"/>
      <c r="I200" s="50"/>
      <c r="J200" s="51"/>
    </row>
    <row r="201" spans="1:10" ht="18" customHeight="1">
      <c r="A201" s="68"/>
      <c r="B201" s="95"/>
      <c r="C201" s="95"/>
      <c r="D201" s="46"/>
      <c r="E201" s="216"/>
      <c r="G201" s="48"/>
      <c r="H201" s="49"/>
      <c r="I201" s="50"/>
      <c r="J201" s="51"/>
    </row>
    <row r="202" spans="1:10" ht="18" customHeight="1">
      <c r="A202" s="68"/>
      <c r="B202" s="95"/>
      <c r="C202" s="95"/>
      <c r="D202" s="46"/>
      <c r="E202" s="216"/>
      <c r="G202" s="48"/>
      <c r="H202" s="49"/>
      <c r="I202" s="50"/>
      <c r="J202" s="51"/>
    </row>
    <row r="203" spans="1:10" ht="18" customHeight="1">
      <c r="A203" s="68"/>
      <c r="B203" s="95"/>
      <c r="C203" s="95"/>
      <c r="D203" s="46"/>
      <c r="E203" s="216"/>
      <c r="G203" s="48"/>
      <c r="H203" s="49"/>
      <c r="I203" s="50"/>
      <c r="J203" s="51"/>
    </row>
    <row r="204" spans="1:10" ht="18" customHeight="1">
      <c r="A204" s="68"/>
      <c r="B204" s="95"/>
      <c r="C204" s="95"/>
      <c r="D204" s="46"/>
      <c r="E204" s="216"/>
      <c r="G204" s="48"/>
      <c r="H204" s="49"/>
      <c r="I204" s="50"/>
      <c r="J204" s="51"/>
    </row>
    <row r="205" spans="1:10" ht="18" customHeight="1">
      <c r="A205" s="68"/>
      <c r="B205" s="95"/>
      <c r="C205" s="95"/>
      <c r="D205" s="46"/>
      <c r="E205" s="216"/>
      <c r="G205" s="48"/>
      <c r="H205" s="49"/>
      <c r="I205" s="50"/>
      <c r="J205" s="51"/>
    </row>
    <row r="206" spans="1:10" ht="18" customHeight="1">
      <c r="A206" s="68"/>
      <c r="B206" s="95"/>
      <c r="C206" s="95"/>
      <c r="D206" s="46"/>
      <c r="E206" s="216"/>
      <c r="G206" s="48"/>
      <c r="H206" s="49"/>
      <c r="I206" s="50"/>
      <c r="J206" s="51"/>
    </row>
    <row r="207" spans="1:10" ht="18" customHeight="1">
      <c r="A207" s="68"/>
      <c r="B207" s="95"/>
      <c r="C207" s="95"/>
      <c r="D207" s="46"/>
      <c r="E207" s="216"/>
      <c r="G207" s="48"/>
      <c r="H207" s="49"/>
      <c r="I207" s="50"/>
      <c r="J207" s="51"/>
    </row>
    <row r="208" spans="1:10" ht="18" customHeight="1">
      <c r="A208" s="68"/>
      <c r="B208" s="95"/>
      <c r="C208" s="95"/>
      <c r="D208" s="46"/>
      <c r="E208" s="216"/>
      <c r="G208" s="48"/>
      <c r="H208" s="49"/>
      <c r="I208" s="50"/>
      <c r="J208" s="51"/>
    </row>
    <row r="209" spans="1:10" ht="18" customHeight="1">
      <c r="A209" s="68"/>
      <c r="B209" s="95"/>
      <c r="C209" s="95"/>
      <c r="D209" s="46"/>
      <c r="E209" s="216"/>
      <c r="G209" s="48"/>
      <c r="H209" s="49"/>
      <c r="I209" s="50"/>
      <c r="J209" s="51"/>
    </row>
    <row r="210" spans="1:10" ht="18" customHeight="1">
      <c r="A210" s="68"/>
      <c r="B210" s="95"/>
      <c r="C210" s="95"/>
      <c r="D210" s="46"/>
      <c r="E210" s="216"/>
      <c r="G210" s="48"/>
      <c r="H210" s="49"/>
      <c r="I210" s="50"/>
      <c r="J210" s="51"/>
    </row>
    <row r="211" spans="1:10" ht="18" customHeight="1">
      <c r="A211" s="68"/>
      <c r="B211" s="95"/>
      <c r="C211" s="95"/>
      <c r="D211" s="46"/>
      <c r="E211" s="216"/>
      <c r="G211" s="48"/>
      <c r="H211" s="49"/>
      <c r="I211" s="50"/>
      <c r="J211" s="51"/>
    </row>
    <row r="212" spans="1:10" ht="18" customHeight="1">
      <c r="A212" s="68"/>
      <c r="B212" s="95"/>
      <c r="C212" s="95"/>
      <c r="D212" s="46"/>
      <c r="E212" s="216"/>
      <c r="G212" s="48"/>
      <c r="H212" s="49"/>
      <c r="I212" s="50"/>
      <c r="J212" s="51"/>
    </row>
    <row r="213" spans="1:10" ht="18" customHeight="1">
      <c r="A213" s="68"/>
      <c r="B213" s="95"/>
      <c r="C213" s="95"/>
      <c r="D213" s="46"/>
      <c r="E213" s="216"/>
      <c r="G213" s="48"/>
      <c r="H213" s="49"/>
      <c r="I213" s="50"/>
      <c r="J213" s="51"/>
    </row>
    <row r="214" spans="1:10" ht="18" customHeight="1">
      <c r="A214" s="68"/>
      <c r="B214" s="95"/>
      <c r="C214" s="95"/>
      <c r="D214" s="46"/>
      <c r="E214" s="216"/>
      <c r="G214" s="48"/>
      <c r="H214" s="49"/>
      <c r="I214" s="50"/>
      <c r="J214" s="51"/>
    </row>
    <row r="215" spans="1:10" ht="18" customHeight="1">
      <c r="A215" s="68"/>
      <c r="B215" s="95"/>
      <c r="C215" s="95"/>
      <c r="D215" s="46"/>
      <c r="E215" s="216"/>
      <c r="G215" s="48"/>
      <c r="H215" s="49"/>
      <c r="I215" s="50"/>
      <c r="J215" s="51"/>
    </row>
    <row r="216" spans="1:10" ht="18" customHeight="1">
      <c r="A216" s="68"/>
      <c r="B216" s="95"/>
      <c r="C216" s="95"/>
      <c r="D216" s="46"/>
      <c r="E216" s="216"/>
      <c r="G216" s="48"/>
      <c r="H216" s="49"/>
      <c r="I216" s="50"/>
      <c r="J216" s="51"/>
    </row>
    <row r="217" spans="1:10" ht="18" customHeight="1">
      <c r="A217" s="68"/>
      <c r="B217" s="95"/>
      <c r="C217" s="95"/>
      <c r="D217" s="46"/>
      <c r="E217" s="216"/>
      <c r="G217" s="48"/>
      <c r="H217" s="49"/>
      <c r="I217" s="50"/>
      <c r="J217" s="51"/>
    </row>
    <row r="218" spans="1:10" ht="18" customHeight="1">
      <c r="A218" s="68"/>
      <c r="B218" s="95"/>
      <c r="C218" s="95"/>
      <c r="D218" s="46"/>
      <c r="E218" s="216"/>
      <c r="G218" s="48"/>
      <c r="H218" s="49"/>
      <c r="I218" s="50"/>
      <c r="J218" s="51"/>
    </row>
    <row r="219" spans="1:10" ht="18" customHeight="1">
      <c r="A219" s="68"/>
      <c r="B219" s="95"/>
      <c r="C219" s="95"/>
      <c r="D219" s="46"/>
      <c r="E219" s="216"/>
      <c r="G219" s="48"/>
      <c r="H219" s="49"/>
      <c r="I219" s="50"/>
      <c r="J219" s="51"/>
    </row>
    <row r="220" spans="1:10" ht="18" customHeight="1">
      <c r="A220" s="68"/>
      <c r="B220" s="95"/>
      <c r="C220" s="95"/>
      <c r="D220" s="46"/>
      <c r="E220" s="216"/>
      <c r="G220" s="48"/>
      <c r="H220" s="49"/>
      <c r="I220" s="50"/>
      <c r="J220" s="51"/>
    </row>
    <row r="221" spans="1:10" ht="18" customHeight="1">
      <c r="A221" s="68"/>
      <c r="B221" s="95"/>
      <c r="C221" s="95"/>
      <c r="D221" s="46"/>
      <c r="E221" s="216"/>
      <c r="G221" s="48"/>
      <c r="H221" s="49"/>
      <c r="I221" s="50"/>
      <c r="J221" s="51"/>
    </row>
    <row r="222" spans="1:10" ht="18" customHeight="1">
      <c r="A222" s="68"/>
      <c r="B222" s="95"/>
      <c r="C222" s="95"/>
      <c r="D222" s="46"/>
      <c r="E222" s="216"/>
      <c r="G222" s="48"/>
      <c r="H222" s="49"/>
      <c r="I222" s="50"/>
      <c r="J222" s="51"/>
    </row>
    <row r="223" spans="1:10" ht="18" customHeight="1">
      <c r="A223" s="68"/>
      <c r="B223" s="95"/>
      <c r="C223" s="95"/>
      <c r="D223" s="46"/>
      <c r="E223" s="216"/>
      <c r="G223" s="48"/>
      <c r="H223" s="49"/>
      <c r="I223" s="50"/>
      <c r="J223" s="51"/>
    </row>
    <row r="224" spans="1:10" ht="18" customHeight="1">
      <c r="A224" s="68"/>
      <c r="B224" s="95"/>
      <c r="C224" s="95"/>
      <c r="D224" s="46"/>
      <c r="E224" s="216"/>
      <c r="G224" s="48"/>
      <c r="H224" s="49"/>
      <c r="I224" s="50"/>
      <c r="J224" s="51"/>
    </row>
    <row r="225" spans="1:10" ht="18" customHeight="1">
      <c r="A225" s="68"/>
      <c r="B225" s="95"/>
      <c r="C225" s="95"/>
      <c r="D225" s="46"/>
      <c r="E225" s="216"/>
      <c r="G225" s="48"/>
      <c r="H225" s="49"/>
      <c r="I225" s="50"/>
      <c r="J225" s="51"/>
    </row>
    <row r="226" spans="1:10" ht="18" customHeight="1">
      <c r="A226" s="68"/>
      <c r="B226" s="95"/>
      <c r="C226" s="95"/>
      <c r="D226" s="46"/>
      <c r="E226" s="216"/>
      <c r="G226" s="48"/>
      <c r="H226" s="49"/>
      <c r="I226" s="50"/>
      <c r="J226" s="51"/>
    </row>
    <row r="227" spans="1:10" ht="18" customHeight="1">
      <c r="A227" s="68"/>
      <c r="B227" s="95"/>
      <c r="C227" s="95"/>
      <c r="D227" s="46"/>
      <c r="E227" s="216"/>
      <c r="G227" s="48"/>
      <c r="H227" s="49"/>
      <c r="I227" s="50"/>
      <c r="J227" s="51"/>
    </row>
    <row r="228" spans="1:10" ht="18" customHeight="1">
      <c r="A228" s="68"/>
      <c r="B228" s="95"/>
      <c r="C228" s="95"/>
      <c r="D228" s="46"/>
      <c r="E228" s="216"/>
      <c r="G228" s="48"/>
      <c r="H228" s="49"/>
      <c r="I228" s="50"/>
      <c r="J228" s="51"/>
    </row>
    <row r="229" spans="1:10" ht="18" customHeight="1">
      <c r="A229" s="68"/>
      <c r="B229" s="95"/>
      <c r="C229" s="95"/>
      <c r="D229" s="46"/>
      <c r="E229" s="216"/>
      <c r="G229" s="48"/>
      <c r="H229" s="49"/>
      <c r="I229" s="50"/>
      <c r="J229" s="51"/>
    </row>
    <row r="230" spans="1:10" ht="18" customHeight="1">
      <c r="A230" s="68"/>
      <c r="B230" s="95"/>
      <c r="C230" s="95"/>
      <c r="D230" s="46"/>
      <c r="E230" s="216"/>
      <c r="G230" s="48"/>
      <c r="H230" s="49"/>
      <c r="I230" s="50"/>
      <c r="J230" s="51"/>
    </row>
    <row r="231" spans="1:10" ht="18" customHeight="1">
      <c r="A231" s="68"/>
      <c r="B231" s="95"/>
      <c r="C231" s="95"/>
      <c r="D231" s="46"/>
      <c r="E231" s="216"/>
      <c r="G231" s="48"/>
      <c r="H231" s="49"/>
      <c r="I231" s="50"/>
      <c r="J231" s="51"/>
    </row>
    <row r="232" spans="1:10" ht="18" customHeight="1">
      <c r="A232" s="68"/>
      <c r="B232" s="95"/>
      <c r="C232" s="95"/>
      <c r="D232" s="46"/>
      <c r="E232" s="216"/>
      <c r="G232" s="48"/>
      <c r="H232" s="49"/>
      <c r="I232" s="50"/>
      <c r="J232" s="51"/>
    </row>
    <row r="233" spans="1:10" ht="18" customHeight="1">
      <c r="A233" s="68"/>
      <c r="B233" s="95"/>
      <c r="C233" s="95"/>
      <c r="D233" s="46"/>
      <c r="E233" s="216"/>
      <c r="G233" s="48"/>
      <c r="H233" s="49"/>
      <c r="I233" s="50"/>
      <c r="J233" s="51"/>
    </row>
    <row r="234" spans="1:10" ht="18" customHeight="1">
      <c r="A234" s="68"/>
      <c r="B234" s="95"/>
      <c r="C234" s="95"/>
      <c r="D234" s="46"/>
      <c r="E234" s="216"/>
      <c r="G234" s="48"/>
      <c r="H234" s="49"/>
      <c r="I234" s="50"/>
      <c r="J234" s="51"/>
    </row>
    <row r="235" spans="1:10" ht="18" customHeight="1">
      <c r="A235" s="68"/>
      <c r="B235" s="95"/>
      <c r="C235" s="95"/>
      <c r="D235" s="46"/>
      <c r="E235" s="216"/>
      <c r="G235" s="48"/>
      <c r="H235" s="49"/>
      <c r="I235" s="50"/>
      <c r="J235" s="51"/>
    </row>
    <row r="236" spans="1:10" ht="18" customHeight="1">
      <c r="A236" s="68"/>
      <c r="B236" s="95"/>
      <c r="C236" s="95"/>
      <c r="D236" s="46"/>
      <c r="E236" s="216"/>
      <c r="G236" s="48"/>
      <c r="H236" s="49"/>
      <c r="I236" s="50"/>
      <c r="J236" s="51"/>
    </row>
    <row r="237" spans="1:10" ht="18" customHeight="1">
      <c r="A237" s="68"/>
      <c r="B237" s="95"/>
      <c r="C237" s="95"/>
      <c r="D237" s="46"/>
      <c r="E237" s="216"/>
      <c r="G237" s="48"/>
      <c r="H237" s="49"/>
      <c r="I237" s="50"/>
      <c r="J237" s="51"/>
    </row>
    <row r="238" spans="1:10" ht="18" customHeight="1">
      <c r="A238" s="68"/>
      <c r="B238" s="95"/>
      <c r="C238" s="95"/>
      <c r="D238" s="46"/>
      <c r="E238" s="216"/>
      <c r="G238" s="48"/>
      <c r="H238" s="49"/>
      <c r="I238" s="50"/>
      <c r="J238" s="51"/>
    </row>
    <row r="239" spans="1:10" ht="18" customHeight="1">
      <c r="A239" s="68"/>
      <c r="B239" s="95"/>
      <c r="C239" s="95"/>
      <c r="D239" s="46"/>
      <c r="E239" s="216"/>
      <c r="G239" s="48"/>
      <c r="H239" s="49"/>
      <c r="I239" s="50"/>
      <c r="J239" s="51"/>
    </row>
    <row r="240" spans="1:10" ht="18" customHeight="1">
      <c r="A240" s="68"/>
      <c r="B240" s="95"/>
      <c r="C240" s="95"/>
      <c r="D240" s="46"/>
      <c r="E240" s="216"/>
      <c r="G240" s="48"/>
      <c r="H240" s="49"/>
      <c r="I240" s="50"/>
      <c r="J240" s="51"/>
    </row>
    <row r="241" spans="1:10" ht="18" customHeight="1">
      <c r="A241" s="68"/>
      <c r="B241" s="95"/>
      <c r="C241" s="95"/>
      <c r="D241" s="46"/>
      <c r="E241" s="216"/>
      <c r="G241" s="48"/>
      <c r="H241" s="49"/>
      <c r="I241" s="50"/>
      <c r="J241" s="51"/>
    </row>
    <row r="242" spans="1:10" ht="18" customHeight="1">
      <c r="A242" s="68"/>
      <c r="B242" s="95"/>
      <c r="C242" s="95"/>
      <c r="D242" s="46"/>
      <c r="E242" s="216"/>
      <c r="G242" s="48"/>
      <c r="H242" s="49"/>
      <c r="I242" s="50"/>
      <c r="J242" s="51"/>
    </row>
    <row r="243" spans="1:10" ht="18" customHeight="1">
      <c r="A243" s="68"/>
      <c r="B243" s="95"/>
      <c r="C243" s="95"/>
      <c r="D243" s="46"/>
      <c r="E243" s="216"/>
      <c r="G243" s="48"/>
      <c r="H243" s="49"/>
      <c r="I243" s="50"/>
      <c r="J243" s="51"/>
    </row>
    <row r="244" spans="1:10" ht="18" customHeight="1">
      <c r="A244" s="68"/>
      <c r="B244" s="95"/>
      <c r="C244" s="95"/>
      <c r="D244" s="46"/>
      <c r="E244" s="216"/>
      <c r="G244" s="48"/>
      <c r="H244" s="49"/>
      <c r="I244" s="50"/>
      <c r="J244" s="51"/>
    </row>
    <row r="245" spans="1:10" ht="18" customHeight="1">
      <c r="A245" s="68"/>
      <c r="B245" s="95"/>
      <c r="C245" s="95"/>
      <c r="D245" s="46"/>
      <c r="E245" s="216"/>
      <c r="G245" s="48"/>
      <c r="H245" s="49"/>
      <c r="I245" s="50"/>
      <c r="J245" s="51"/>
    </row>
    <row r="246" spans="1:10" ht="18" customHeight="1">
      <c r="A246" s="68"/>
      <c r="B246" s="95"/>
      <c r="C246" s="95"/>
      <c r="D246" s="46"/>
      <c r="E246" s="216"/>
      <c r="G246" s="48"/>
      <c r="H246" s="49"/>
      <c r="I246" s="50"/>
      <c r="J246" s="51"/>
    </row>
    <row r="247" spans="1:10" ht="18" customHeight="1">
      <c r="A247" s="68"/>
      <c r="B247" s="95"/>
      <c r="C247" s="95"/>
      <c r="D247" s="46"/>
      <c r="E247" s="216"/>
      <c r="G247" s="48"/>
      <c r="H247" s="49"/>
      <c r="I247" s="50"/>
      <c r="J247" s="51"/>
    </row>
    <row r="248" spans="1:10" ht="18" customHeight="1">
      <c r="A248" s="68"/>
      <c r="B248" s="95"/>
      <c r="C248" s="95"/>
      <c r="D248" s="46"/>
      <c r="E248" s="216"/>
      <c r="G248" s="48"/>
      <c r="H248" s="49"/>
      <c r="I248" s="50"/>
      <c r="J248" s="51"/>
    </row>
    <row r="249" spans="1:10" ht="18" customHeight="1">
      <c r="A249" s="68"/>
      <c r="B249" s="95"/>
      <c r="C249" s="95"/>
      <c r="D249" s="46"/>
      <c r="E249" s="216"/>
      <c r="G249" s="48"/>
      <c r="H249" s="49"/>
      <c r="I249" s="50"/>
      <c r="J249" s="51"/>
    </row>
    <row r="250" spans="1:10" ht="18" customHeight="1">
      <c r="A250" s="68"/>
      <c r="B250" s="95"/>
      <c r="C250" s="95"/>
      <c r="D250" s="46"/>
      <c r="E250" s="216"/>
      <c r="G250" s="48"/>
      <c r="H250" s="49"/>
      <c r="I250" s="50"/>
      <c r="J250" s="51"/>
    </row>
    <row r="251" spans="1:10" ht="18" customHeight="1">
      <c r="A251" s="68"/>
      <c r="B251" s="95"/>
      <c r="C251" s="95"/>
      <c r="D251" s="46"/>
      <c r="E251" s="216"/>
      <c r="G251" s="48"/>
      <c r="H251" s="49"/>
      <c r="I251" s="50"/>
      <c r="J251" s="51"/>
    </row>
    <row r="252" spans="1:10" ht="18" customHeight="1">
      <c r="A252" s="68"/>
      <c r="B252" s="95"/>
      <c r="C252" s="95"/>
      <c r="D252" s="46"/>
      <c r="E252" s="216"/>
      <c r="G252" s="48"/>
      <c r="H252" s="49"/>
      <c r="I252" s="50"/>
      <c r="J252" s="51"/>
    </row>
    <row r="253" spans="1:10" ht="18" customHeight="1">
      <c r="A253" s="68"/>
      <c r="B253" s="95"/>
      <c r="C253" s="95"/>
      <c r="D253" s="46"/>
      <c r="E253" s="216"/>
      <c r="G253" s="48"/>
      <c r="H253" s="49"/>
      <c r="I253" s="50"/>
      <c r="J253" s="51"/>
    </row>
    <row r="254" spans="1:10" ht="18" customHeight="1">
      <c r="A254" s="68"/>
      <c r="B254" s="95"/>
      <c r="C254" s="95"/>
      <c r="D254" s="46"/>
      <c r="E254" s="216"/>
      <c r="G254" s="48"/>
      <c r="H254" s="49"/>
      <c r="I254" s="50"/>
      <c r="J254" s="51"/>
    </row>
    <row r="255" spans="1:10" ht="18" customHeight="1">
      <c r="A255" s="68"/>
      <c r="B255" s="95"/>
      <c r="C255" s="95"/>
      <c r="D255" s="46"/>
      <c r="E255" s="216"/>
      <c r="G255" s="48"/>
      <c r="H255" s="49"/>
      <c r="I255" s="50"/>
      <c r="J255" s="51"/>
    </row>
    <row r="256" spans="1:10" ht="18" customHeight="1">
      <c r="A256" s="68"/>
      <c r="B256" s="95"/>
      <c r="C256" s="95"/>
      <c r="D256" s="46"/>
      <c r="E256" s="216"/>
      <c r="G256" s="48"/>
      <c r="H256" s="49"/>
      <c r="I256" s="50"/>
      <c r="J256" s="51"/>
    </row>
    <row r="257" spans="1:10" ht="18" customHeight="1">
      <c r="A257" s="68"/>
      <c r="B257" s="95"/>
      <c r="C257" s="95"/>
      <c r="D257" s="46"/>
      <c r="E257" s="216"/>
      <c r="G257" s="48"/>
      <c r="H257" s="49"/>
      <c r="I257" s="50"/>
      <c r="J257" s="51"/>
    </row>
    <row r="258" spans="1:10" ht="18" customHeight="1">
      <c r="A258" s="68"/>
      <c r="B258" s="95"/>
      <c r="C258" s="95"/>
      <c r="D258" s="46"/>
      <c r="E258" s="216"/>
      <c r="G258" s="48"/>
      <c r="H258" s="49"/>
      <c r="I258" s="50"/>
      <c r="J258" s="51"/>
    </row>
    <row r="259" spans="1:10" ht="18" customHeight="1">
      <c r="A259" s="68"/>
      <c r="B259" s="95"/>
      <c r="C259" s="95"/>
      <c r="D259" s="46"/>
      <c r="E259" s="216"/>
      <c r="G259" s="48"/>
      <c r="H259" s="49"/>
      <c r="I259" s="50"/>
      <c r="J259" s="51"/>
    </row>
    <row r="260" spans="1:10" ht="18" customHeight="1">
      <c r="A260" s="68"/>
      <c r="B260" s="95"/>
      <c r="C260" s="95"/>
      <c r="D260" s="46"/>
      <c r="E260" s="216"/>
      <c r="G260" s="48"/>
      <c r="H260" s="49"/>
      <c r="I260" s="50"/>
      <c r="J260" s="51"/>
    </row>
    <row r="261" spans="1:10" ht="18" customHeight="1">
      <c r="A261" s="68"/>
      <c r="B261" s="95"/>
      <c r="C261" s="95"/>
      <c r="D261" s="46"/>
      <c r="E261" s="216"/>
      <c r="G261" s="48"/>
      <c r="H261" s="49"/>
      <c r="I261" s="50"/>
      <c r="J261" s="51"/>
    </row>
    <row r="262" spans="1:10" ht="18" customHeight="1">
      <c r="A262" s="68"/>
      <c r="B262" s="95"/>
      <c r="C262" s="95"/>
      <c r="D262" s="46"/>
      <c r="E262" s="216"/>
      <c r="G262" s="48"/>
      <c r="H262" s="49"/>
      <c r="I262" s="50"/>
      <c r="J262" s="51"/>
    </row>
    <row r="263" spans="1:10" ht="18" customHeight="1">
      <c r="A263" s="68"/>
      <c r="B263" s="95"/>
      <c r="C263" s="95"/>
      <c r="D263" s="46"/>
      <c r="E263" s="216"/>
      <c r="G263" s="48"/>
      <c r="H263" s="49"/>
      <c r="I263" s="50"/>
      <c r="J263" s="51"/>
    </row>
    <row r="264" spans="1:10" ht="18" customHeight="1">
      <c r="A264" s="68"/>
      <c r="B264" s="95"/>
      <c r="C264" s="95"/>
      <c r="D264" s="46"/>
      <c r="E264" s="216"/>
      <c r="G264" s="48"/>
      <c r="H264" s="49"/>
      <c r="I264" s="50"/>
      <c r="J264" s="51"/>
    </row>
    <row r="265" spans="1:10" ht="18" customHeight="1">
      <c r="A265" s="68"/>
      <c r="B265" s="95"/>
      <c r="C265" s="95"/>
      <c r="D265" s="46"/>
      <c r="E265" s="216"/>
      <c r="G265" s="48"/>
      <c r="H265" s="49"/>
      <c r="I265" s="50"/>
      <c r="J265" s="51"/>
    </row>
    <row r="266" spans="1:10" ht="18" customHeight="1">
      <c r="A266" s="68"/>
      <c r="B266" s="95"/>
      <c r="C266" s="95"/>
      <c r="D266" s="46"/>
      <c r="E266" s="216"/>
      <c r="G266" s="48"/>
      <c r="H266" s="49"/>
      <c r="I266" s="50"/>
      <c r="J266" s="51"/>
    </row>
    <row r="267" spans="1:10" ht="18" customHeight="1">
      <c r="A267" s="68"/>
      <c r="B267" s="95"/>
      <c r="C267" s="95"/>
      <c r="D267" s="46"/>
      <c r="E267" s="216"/>
      <c r="G267" s="48"/>
      <c r="H267" s="49"/>
      <c r="I267" s="50"/>
      <c r="J267" s="51"/>
    </row>
    <row r="268" spans="1:10" ht="18" customHeight="1">
      <c r="A268" s="68"/>
      <c r="B268" s="95"/>
      <c r="C268" s="95"/>
      <c r="D268" s="46"/>
      <c r="E268" s="216"/>
      <c r="G268" s="48"/>
      <c r="H268" s="49"/>
      <c r="I268" s="50"/>
      <c r="J268" s="51"/>
    </row>
    <row r="269" spans="1:10" ht="18" customHeight="1">
      <c r="A269" s="68"/>
      <c r="B269" s="95"/>
      <c r="C269" s="95"/>
      <c r="D269" s="46"/>
      <c r="E269" s="216"/>
      <c r="G269" s="48"/>
      <c r="H269" s="49"/>
      <c r="I269" s="50"/>
      <c r="J269" s="51"/>
    </row>
    <row r="270" spans="1:10" ht="18" customHeight="1">
      <c r="A270" s="68"/>
      <c r="B270" s="95"/>
      <c r="C270" s="95"/>
      <c r="D270" s="46"/>
      <c r="E270" s="216"/>
      <c r="G270" s="48"/>
      <c r="H270" s="49"/>
      <c r="I270" s="50"/>
      <c r="J270" s="51"/>
    </row>
    <row r="271" spans="1:10" ht="18" customHeight="1">
      <c r="A271" s="68"/>
      <c r="B271" s="95"/>
      <c r="C271" s="95"/>
      <c r="D271" s="46"/>
      <c r="E271" s="216"/>
      <c r="G271" s="48"/>
      <c r="H271" s="49"/>
      <c r="I271" s="50"/>
      <c r="J271" s="51"/>
    </row>
    <row r="272" spans="1:10" ht="18" customHeight="1">
      <c r="A272" s="68"/>
      <c r="B272" s="95"/>
      <c r="C272" s="95"/>
      <c r="D272" s="46"/>
      <c r="E272" s="216"/>
      <c r="G272" s="48"/>
      <c r="H272" s="49"/>
      <c r="I272" s="50"/>
      <c r="J272" s="51"/>
    </row>
    <row r="273" spans="1:10" ht="18" customHeight="1">
      <c r="A273" s="68"/>
      <c r="B273" s="95"/>
      <c r="C273" s="95"/>
      <c r="D273" s="46"/>
      <c r="E273" s="216"/>
      <c r="G273" s="48"/>
      <c r="H273" s="49"/>
      <c r="I273" s="50"/>
      <c r="J273" s="51"/>
    </row>
    <row r="274" spans="1:10" ht="18" customHeight="1">
      <c r="A274" s="68"/>
      <c r="B274" s="95"/>
      <c r="C274" s="95"/>
      <c r="D274" s="46"/>
      <c r="E274" s="216"/>
      <c r="G274" s="48"/>
      <c r="H274" s="49"/>
      <c r="I274" s="50"/>
      <c r="J274" s="51"/>
    </row>
    <row r="275" spans="1:10" ht="18" customHeight="1">
      <c r="A275" s="68"/>
      <c r="B275" s="95"/>
      <c r="C275" s="95"/>
      <c r="D275" s="46"/>
      <c r="E275" s="216"/>
      <c r="G275" s="48"/>
      <c r="H275" s="49"/>
      <c r="I275" s="50"/>
      <c r="J275" s="51"/>
    </row>
    <row r="276" spans="1:10" ht="18" customHeight="1">
      <c r="A276" s="68"/>
      <c r="B276" s="95"/>
      <c r="C276" s="95"/>
      <c r="D276" s="46"/>
      <c r="E276" s="216"/>
      <c r="G276" s="48"/>
      <c r="H276" s="49"/>
      <c r="I276" s="50"/>
      <c r="J276" s="51"/>
    </row>
    <row r="277" spans="1:10" ht="18" customHeight="1">
      <c r="A277" s="68"/>
      <c r="B277" s="95"/>
      <c r="C277" s="95"/>
      <c r="D277" s="46"/>
      <c r="E277" s="216"/>
      <c r="G277" s="48"/>
      <c r="H277" s="49"/>
      <c r="I277" s="50"/>
      <c r="J277" s="51"/>
    </row>
    <row r="278" spans="1:10" ht="18" customHeight="1">
      <c r="A278" s="68"/>
      <c r="B278" s="95"/>
      <c r="C278" s="95"/>
      <c r="D278" s="46"/>
      <c r="E278" s="216"/>
      <c r="G278" s="48"/>
      <c r="H278" s="49"/>
      <c r="I278" s="50"/>
      <c r="J278" s="51"/>
    </row>
    <row r="279" spans="1:10" ht="18" customHeight="1">
      <c r="A279" s="68"/>
      <c r="B279" s="95"/>
      <c r="C279" s="95"/>
      <c r="D279" s="46"/>
      <c r="E279" s="216"/>
      <c r="G279" s="48"/>
      <c r="H279" s="49"/>
      <c r="I279" s="50"/>
      <c r="J279" s="51"/>
    </row>
    <row r="280" spans="1:10" ht="18" customHeight="1">
      <c r="A280" s="68"/>
      <c r="B280" s="95"/>
      <c r="C280" s="95"/>
      <c r="D280" s="46"/>
      <c r="E280" s="216"/>
      <c r="G280" s="48"/>
      <c r="H280" s="49"/>
      <c r="I280" s="50"/>
      <c r="J280" s="51"/>
    </row>
    <row r="281" spans="1:10" ht="18" customHeight="1">
      <c r="A281" s="68"/>
      <c r="B281" s="95"/>
      <c r="C281" s="95"/>
      <c r="D281" s="46"/>
      <c r="E281" s="216"/>
      <c r="G281" s="48"/>
      <c r="H281" s="49"/>
      <c r="I281" s="50"/>
      <c r="J281" s="51"/>
    </row>
    <row r="282" spans="1:10" ht="18" customHeight="1">
      <c r="A282" s="68"/>
      <c r="B282" s="95"/>
      <c r="C282" s="95"/>
      <c r="D282" s="46"/>
      <c r="E282" s="216"/>
      <c r="G282" s="48"/>
      <c r="H282" s="49"/>
      <c r="I282" s="50"/>
      <c r="J282" s="51"/>
    </row>
    <row r="283" spans="1:10" ht="18" customHeight="1">
      <c r="A283" s="68"/>
      <c r="B283" s="95"/>
      <c r="C283" s="95"/>
      <c r="D283" s="46"/>
      <c r="E283" s="216"/>
      <c r="G283" s="48"/>
      <c r="H283" s="49"/>
      <c r="I283" s="50"/>
      <c r="J283" s="51"/>
    </row>
    <row r="284" spans="1:10" ht="18" customHeight="1">
      <c r="A284" s="68"/>
      <c r="B284" s="95"/>
      <c r="C284" s="95"/>
      <c r="D284" s="46"/>
      <c r="E284" s="216"/>
      <c r="G284" s="48"/>
      <c r="H284" s="49"/>
      <c r="I284" s="50"/>
      <c r="J284" s="51"/>
    </row>
    <row r="285" spans="1:10" ht="18" customHeight="1">
      <c r="A285" s="68"/>
      <c r="B285" s="95"/>
      <c r="C285" s="95"/>
      <c r="D285" s="46"/>
      <c r="E285" s="216"/>
      <c r="G285" s="48"/>
      <c r="H285" s="49"/>
      <c r="I285" s="50"/>
      <c r="J285" s="51"/>
    </row>
    <row r="286" spans="1:10" ht="18" customHeight="1">
      <c r="A286" s="68"/>
      <c r="B286" s="95"/>
      <c r="C286" s="95"/>
      <c r="D286" s="46"/>
      <c r="E286" s="216"/>
      <c r="G286" s="48"/>
      <c r="H286" s="49"/>
      <c r="I286" s="50"/>
      <c r="J286" s="51"/>
    </row>
    <row r="287" spans="1:10" ht="18" customHeight="1">
      <c r="A287" s="68"/>
      <c r="B287" s="95"/>
      <c r="C287" s="95"/>
      <c r="D287" s="46"/>
      <c r="E287" s="216"/>
      <c r="G287" s="48"/>
      <c r="H287" s="49"/>
      <c r="I287" s="50"/>
      <c r="J287" s="51"/>
    </row>
    <row r="288" spans="1:10" ht="18" customHeight="1">
      <c r="A288" s="68"/>
      <c r="B288" s="95"/>
      <c r="C288" s="95"/>
      <c r="D288" s="46"/>
      <c r="E288" s="216"/>
      <c r="G288" s="48"/>
      <c r="H288" s="49"/>
      <c r="I288" s="50"/>
      <c r="J288" s="51"/>
    </row>
    <row r="289" spans="1:10" ht="18" customHeight="1">
      <c r="A289" s="68"/>
      <c r="B289" s="95"/>
      <c r="C289" s="95"/>
      <c r="D289" s="46"/>
      <c r="E289" s="216"/>
      <c r="G289" s="48"/>
      <c r="H289" s="49"/>
      <c r="I289" s="50"/>
      <c r="J289" s="51"/>
    </row>
    <row r="290" spans="1:10" ht="18" customHeight="1">
      <c r="A290" s="68"/>
      <c r="B290" s="95"/>
      <c r="C290" s="95"/>
      <c r="D290" s="46"/>
      <c r="E290" s="216"/>
      <c r="G290" s="48"/>
      <c r="H290" s="49"/>
      <c r="I290" s="50"/>
      <c r="J290" s="51"/>
    </row>
    <row r="291" spans="1:10" ht="18" customHeight="1">
      <c r="A291" s="68"/>
      <c r="B291" s="95"/>
      <c r="C291" s="95"/>
      <c r="D291" s="46"/>
      <c r="E291" s="216"/>
      <c r="G291" s="48"/>
      <c r="H291" s="49"/>
      <c r="I291" s="50"/>
      <c r="J291" s="51"/>
    </row>
    <row r="292" spans="1:10" ht="18" customHeight="1">
      <c r="A292" s="68"/>
      <c r="B292" s="95"/>
      <c r="C292" s="95"/>
      <c r="D292" s="46"/>
      <c r="E292" s="216"/>
      <c r="G292" s="48"/>
      <c r="H292" s="49"/>
      <c r="I292" s="50"/>
      <c r="J292" s="51"/>
    </row>
    <row r="293" spans="1:10" ht="18" customHeight="1">
      <c r="A293" s="68"/>
      <c r="B293" s="95"/>
      <c r="C293" s="95"/>
      <c r="D293" s="46"/>
      <c r="E293" s="216"/>
      <c r="G293" s="48"/>
      <c r="H293" s="49"/>
      <c r="I293" s="50"/>
      <c r="J293" s="51"/>
    </row>
    <row r="294" spans="1:10" ht="18" customHeight="1">
      <c r="A294" s="68"/>
      <c r="B294" s="95"/>
      <c r="C294" s="95"/>
      <c r="D294" s="46"/>
      <c r="E294" s="216"/>
      <c r="G294" s="48"/>
      <c r="H294" s="49"/>
      <c r="I294" s="50"/>
      <c r="J294" s="51"/>
    </row>
    <row r="295" spans="1:10" ht="18" customHeight="1">
      <c r="A295" s="68"/>
      <c r="B295" s="95"/>
      <c r="C295" s="95"/>
      <c r="D295" s="46"/>
      <c r="E295" s="216"/>
      <c r="G295" s="48"/>
      <c r="H295" s="49"/>
      <c r="I295" s="50"/>
      <c r="J295" s="51"/>
    </row>
    <row r="296" spans="1:10" ht="18" customHeight="1">
      <c r="A296" s="68"/>
      <c r="B296" s="95"/>
      <c r="C296" s="95"/>
      <c r="D296" s="46"/>
      <c r="E296" s="216"/>
      <c r="G296" s="48"/>
      <c r="H296" s="49"/>
      <c r="I296" s="50"/>
      <c r="J296" s="51"/>
    </row>
    <row r="297" spans="1:10" ht="18" customHeight="1">
      <c r="A297" s="68"/>
      <c r="B297" s="95"/>
      <c r="C297" s="95"/>
      <c r="D297" s="46"/>
      <c r="E297" s="216"/>
      <c r="G297" s="48"/>
      <c r="H297" s="49"/>
      <c r="I297" s="50"/>
      <c r="J297" s="51"/>
    </row>
    <row r="298" spans="1:10" ht="18" customHeight="1">
      <c r="A298" s="68"/>
      <c r="B298" s="95"/>
      <c r="C298" s="95"/>
      <c r="D298" s="46"/>
      <c r="E298" s="216"/>
      <c r="G298" s="48"/>
      <c r="H298" s="49"/>
      <c r="I298" s="50"/>
      <c r="J298" s="51"/>
    </row>
    <row r="299" spans="1:10" ht="18" customHeight="1">
      <c r="A299" s="68"/>
      <c r="B299" s="95"/>
      <c r="C299" s="95"/>
      <c r="D299" s="46"/>
      <c r="E299" s="216"/>
      <c r="G299" s="48"/>
      <c r="H299" s="49"/>
      <c r="I299" s="50"/>
      <c r="J299" s="51"/>
    </row>
    <row r="300" spans="1:10" ht="18" customHeight="1">
      <c r="A300" s="68"/>
      <c r="B300" s="95"/>
      <c r="C300" s="95"/>
      <c r="D300" s="46"/>
      <c r="E300" s="216"/>
      <c r="G300" s="48"/>
      <c r="H300" s="49"/>
      <c r="I300" s="50"/>
      <c r="J300" s="51"/>
    </row>
    <row r="301" spans="1:10" ht="18" customHeight="1">
      <c r="A301" s="68"/>
      <c r="B301" s="95"/>
      <c r="C301" s="95"/>
      <c r="D301" s="46"/>
      <c r="E301" s="216"/>
      <c r="G301" s="48"/>
      <c r="H301" s="49"/>
      <c r="I301" s="50"/>
      <c r="J301" s="51"/>
    </row>
    <row r="302" spans="1:10" ht="18" customHeight="1">
      <c r="A302" s="68"/>
      <c r="B302" s="95"/>
      <c r="C302" s="95"/>
      <c r="D302" s="46"/>
      <c r="E302" s="216"/>
      <c r="G302" s="48"/>
      <c r="H302" s="49"/>
      <c r="I302" s="50"/>
      <c r="J302" s="51"/>
    </row>
    <row r="303" spans="1:10" ht="18" customHeight="1">
      <c r="A303" s="68"/>
      <c r="B303" s="95"/>
      <c r="C303" s="95"/>
      <c r="D303" s="46"/>
      <c r="E303" s="216"/>
      <c r="G303" s="48"/>
      <c r="H303" s="49"/>
      <c r="I303" s="50"/>
      <c r="J303" s="51"/>
    </row>
    <row r="304" spans="1:10" ht="18" customHeight="1">
      <c r="A304" s="68"/>
      <c r="B304" s="95"/>
      <c r="C304" s="95"/>
      <c r="D304" s="46"/>
      <c r="E304" s="216"/>
      <c r="G304" s="48"/>
      <c r="H304" s="49"/>
      <c r="I304" s="50"/>
      <c r="J304" s="51"/>
    </row>
    <row r="305" spans="1:10" ht="18" customHeight="1">
      <c r="A305" s="68"/>
      <c r="B305" s="95"/>
      <c r="C305" s="95"/>
      <c r="D305" s="46"/>
      <c r="E305" s="216"/>
      <c r="G305" s="48"/>
      <c r="H305" s="49"/>
      <c r="I305" s="50"/>
      <c r="J305" s="51"/>
    </row>
    <row r="306" spans="1:10" ht="18" customHeight="1">
      <c r="A306" s="68"/>
      <c r="B306" s="95"/>
      <c r="C306" s="95"/>
      <c r="D306" s="46"/>
      <c r="E306" s="216"/>
      <c r="G306" s="48"/>
      <c r="H306" s="49"/>
      <c r="I306" s="50"/>
      <c r="J306" s="51"/>
    </row>
    <row r="307" spans="1:10" ht="18" customHeight="1">
      <c r="A307" s="68"/>
      <c r="B307" s="95"/>
      <c r="C307" s="95"/>
      <c r="D307" s="46"/>
      <c r="E307" s="216"/>
      <c r="G307" s="48"/>
      <c r="H307" s="49"/>
      <c r="I307" s="50"/>
      <c r="J307" s="51"/>
    </row>
    <row r="308" spans="1:10" ht="18" customHeight="1">
      <c r="A308" s="68"/>
      <c r="B308" s="95"/>
      <c r="C308" s="95"/>
      <c r="D308" s="46"/>
      <c r="E308" s="216"/>
      <c r="G308" s="48"/>
      <c r="H308" s="49"/>
      <c r="I308" s="50"/>
      <c r="J308" s="51"/>
    </row>
    <row r="309" spans="1:10" ht="18" customHeight="1">
      <c r="A309" s="68"/>
      <c r="B309" s="95"/>
      <c r="C309" s="95"/>
      <c r="D309" s="46"/>
      <c r="E309" s="216"/>
      <c r="G309" s="48"/>
      <c r="H309" s="49"/>
      <c r="I309" s="50"/>
      <c r="J309" s="51"/>
    </row>
    <row r="310" spans="1:10" ht="18" customHeight="1">
      <c r="A310" s="68"/>
      <c r="B310" s="95"/>
      <c r="C310" s="95"/>
      <c r="D310" s="46"/>
      <c r="E310" s="216"/>
      <c r="G310" s="48"/>
      <c r="H310" s="49"/>
      <c r="I310" s="50"/>
      <c r="J310" s="51"/>
    </row>
    <row r="311" spans="1:10" ht="18" customHeight="1">
      <c r="A311" s="68"/>
      <c r="B311" s="95"/>
      <c r="C311" s="95"/>
      <c r="D311" s="46"/>
      <c r="E311" s="216"/>
      <c r="G311" s="48"/>
      <c r="H311" s="49"/>
      <c r="I311" s="50"/>
      <c r="J311" s="51"/>
    </row>
    <row r="312" spans="1:10" ht="18" customHeight="1">
      <c r="A312" s="68"/>
      <c r="B312" s="95"/>
      <c r="C312" s="95"/>
      <c r="D312" s="46"/>
      <c r="E312" s="216"/>
      <c r="G312" s="48"/>
      <c r="H312" s="49"/>
      <c r="I312" s="50"/>
      <c r="J312" s="51"/>
    </row>
    <row r="313" spans="1:10" ht="18" customHeight="1">
      <c r="A313" s="68"/>
      <c r="B313" s="95"/>
      <c r="C313" s="95"/>
      <c r="D313" s="46"/>
      <c r="E313" s="216"/>
      <c r="G313" s="48"/>
      <c r="H313" s="49"/>
      <c r="I313" s="50"/>
      <c r="J313" s="51"/>
    </row>
    <row r="314" spans="1:10" ht="18" customHeight="1">
      <c r="A314" s="68"/>
      <c r="B314" s="95"/>
      <c r="C314" s="95"/>
      <c r="D314" s="46"/>
      <c r="E314" s="216"/>
      <c r="G314" s="48"/>
      <c r="H314" s="49"/>
      <c r="I314" s="50"/>
      <c r="J314" s="51"/>
    </row>
    <row r="315" spans="1:10" ht="18" customHeight="1">
      <c r="A315" s="68"/>
      <c r="B315" s="95"/>
      <c r="C315" s="95"/>
      <c r="D315" s="46"/>
      <c r="E315" s="216"/>
      <c r="G315" s="48"/>
      <c r="H315" s="49"/>
      <c r="I315" s="50"/>
      <c r="J315" s="51"/>
    </row>
    <row r="316" spans="1:10" ht="18" customHeight="1">
      <c r="A316" s="68"/>
      <c r="B316" s="95"/>
      <c r="C316" s="95"/>
      <c r="D316" s="46"/>
      <c r="E316" s="216"/>
      <c r="G316" s="48"/>
      <c r="H316" s="49"/>
      <c r="I316" s="50"/>
      <c r="J316" s="51"/>
    </row>
    <row r="317" spans="1:10" ht="18" customHeight="1">
      <c r="A317" s="68"/>
      <c r="B317" s="95"/>
      <c r="C317" s="95"/>
      <c r="D317" s="46"/>
      <c r="E317" s="216"/>
      <c r="G317" s="48"/>
      <c r="H317" s="49"/>
      <c r="I317" s="50"/>
      <c r="J317" s="51"/>
    </row>
    <row r="318" spans="1:10" ht="18" customHeight="1">
      <c r="A318" s="68"/>
      <c r="B318" s="95"/>
      <c r="C318" s="95"/>
      <c r="D318" s="46"/>
      <c r="E318" s="216"/>
      <c r="G318" s="48"/>
      <c r="H318" s="49"/>
      <c r="I318" s="50"/>
      <c r="J318" s="51"/>
    </row>
    <row r="319" spans="1:10" ht="18" customHeight="1">
      <c r="A319" s="68"/>
      <c r="B319" s="95"/>
      <c r="C319" s="95"/>
      <c r="D319" s="46"/>
      <c r="E319" s="216"/>
      <c r="G319" s="48"/>
      <c r="H319" s="49"/>
      <c r="I319" s="50"/>
      <c r="J319" s="51"/>
    </row>
    <row r="320" spans="1:10" ht="18" customHeight="1">
      <c r="A320" s="68"/>
      <c r="B320" s="95"/>
      <c r="C320" s="95"/>
      <c r="D320" s="46"/>
      <c r="E320" s="216"/>
      <c r="G320" s="48"/>
      <c r="H320" s="49"/>
      <c r="I320" s="50"/>
      <c r="J320" s="51"/>
    </row>
    <row r="321" spans="1:10" ht="18" customHeight="1">
      <c r="A321" s="68"/>
      <c r="B321" s="95"/>
      <c r="C321" s="95"/>
      <c r="D321" s="46"/>
      <c r="E321" s="216"/>
      <c r="G321" s="48"/>
      <c r="H321" s="49"/>
      <c r="I321" s="50"/>
      <c r="J321" s="51"/>
    </row>
    <row r="322" spans="1:10" ht="18" customHeight="1">
      <c r="A322" s="68"/>
      <c r="B322" s="95"/>
      <c r="C322" s="95"/>
      <c r="D322" s="46"/>
      <c r="E322" s="216"/>
      <c r="G322" s="48"/>
      <c r="H322" s="49"/>
      <c r="I322" s="50"/>
      <c r="J322" s="51"/>
    </row>
    <row r="323" spans="1:10" ht="18" customHeight="1">
      <c r="A323" s="68"/>
      <c r="B323" s="95"/>
      <c r="C323" s="95"/>
      <c r="D323" s="46"/>
      <c r="E323" s="216"/>
      <c r="G323" s="48"/>
      <c r="H323" s="49"/>
      <c r="I323" s="50"/>
      <c r="J323" s="51"/>
    </row>
    <row r="324" spans="1:10" ht="18" customHeight="1">
      <c r="A324" s="68"/>
      <c r="B324" s="95"/>
      <c r="C324" s="95"/>
      <c r="D324" s="46"/>
      <c r="E324" s="216"/>
      <c r="G324" s="48"/>
      <c r="H324" s="49"/>
      <c r="I324" s="50"/>
      <c r="J324" s="51"/>
    </row>
    <row r="325" spans="1:10" ht="18" customHeight="1">
      <c r="A325" s="68"/>
      <c r="B325" s="95"/>
      <c r="C325" s="95"/>
      <c r="D325" s="46"/>
      <c r="E325" s="216"/>
      <c r="G325" s="48"/>
      <c r="H325" s="49"/>
      <c r="I325" s="50"/>
      <c r="J325" s="51"/>
    </row>
    <row r="326" spans="1:10" ht="18" customHeight="1">
      <c r="A326" s="68"/>
      <c r="B326" s="95"/>
      <c r="C326" s="95"/>
      <c r="D326" s="46"/>
      <c r="E326" s="216"/>
      <c r="G326" s="48"/>
      <c r="H326" s="49"/>
      <c r="I326" s="50"/>
      <c r="J326" s="51"/>
    </row>
    <row r="327" spans="1:10" ht="18" customHeight="1">
      <c r="A327" s="68"/>
      <c r="B327" s="95"/>
      <c r="C327" s="95"/>
      <c r="D327" s="46"/>
      <c r="E327" s="216"/>
      <c r="G327" s="48"/>
      <c r="H327" s="49"/>
      <c r="I327" s="50"/>
      <c r="J327" s="51"/>
    </row>
    <row r="328" spans="1:10" ht="18" customHeight="1">
      <c r="A328" s="68"/>
      <c r="B328" s="95"/>
      <c r="C328" s="95"/>
      <c r="D328" s="46"/>
      <c r="E328" s="216"/>
      <c r="G328" s="48"/>
      <c r="H328" s="49"/>
      <c r="I328" s="50"/>
      <c r="J328" s="51"/>
    </row>
    <row r="329" spans="1:10" ht="18" customHeight="1">
      <c r="A329" s="68"/>
      <c r="B329" s="95"/>
      <c r="C329" s="95"/>
      <c r="D329" s="46"/>
      <c r="E329" s="216"/>
      <c r="G329" s="48"/>
      <c r="H329" s="49"/>
      <c r="I329" s="50"/>
      <c r="J329" s="51"/>
    </row>
    <row r="330" spans="1:10" ht="18" customHeight="1">
      <c r="A330" s="68"/>
      <c r="B330" s="95"/>
      <c r="C330" s="95"/>
      <c r="D330" s="46"/>
      <c r="E330" s="216"/>
      <c r="G330" s="48"/>
      <c r="H330" s="49"/>
      <c r="I330" s="50"/>
      <c r="J330" s="51"/>
    </row>
    <row r="331" spans="1:10" ht="18" customHeight="1">
      <c r="A331" s="68"/>
      <c r="B331" s="95"/>
      <c r="C331" s="95"/>
      <c r="D331" s="46"/>
      <c r="E331" s="216"/>
      <c r="G331" s="48"/>
      <c r="H331" s="49"/>
      <c r="I331" s="50"/>
      <c r="J331" s="51"/>
    </row>
    <row r="332" spans="1:10" ht="18" customHeight="1">
      <c r="A332" s="68"/>
      <c r="B332" s="95"/>
      <c r="C332" s="95"/>
      <c r="D332" s="46"/>
      <c r="E332" s="216"/>
      <c r="G332" s="48"/>
      <c r="H332" s="49"/>
      <c r="I332" s="50"/>
      <c r="J332" s="51"/>
    </row>
    <row r="333" spans="1:10" ht="18" customHeight="1">
      <c r="A333" s="68"/>
      <c r="B333" s="95"/>
      <c r="C333" s="95"/>
      <c r="D333" s="46"/>
      <c r="E333" s="216"/>
      <c r="G333" s="48"/>
      <c r="H333" s="49"/>
      <c r="I333" s="50"/>
      <c r="J333" s="51"/>
    </row>
    <row r="334" spans="1:10" ht="18" customHeight="1">
      <c r="A334" s="68"/>
      <c r="B334" s="95"/>
      <c r="C334" s="95"/>
      <c r="D334" s="46"/>
      <c r="E334" s="216"/>
      <c r="G334" s="48"/>
      <c r="H334" s="49"/>
      <c r="I334" s="50"/>
      <c r="J334" s="51"/>
    </row>
    <row r="335" spans="1:10" ht="18" customHeight="1">
      <c r="A335" s="68"/>
      <c r="B335" s="95"/>
      <c r="C335" s="95"/>
      <c r="D335" s="46"/>
      <c r="E335" s="216"/>
      <c r="G335" s="48"/>
      <c r="H335" s="49"/>
      <c r="I335" s="50"/>
      <c r="J335" s="51"/>
    </row>
    <row r="336" spans="1:10" ht="18" customHeight="1">
      <c r="A336" s="68"/>
      <c r="B336" s="95"/>
      <c r="C336" s="95"/>
      <c r="D336" s="46"/>
      <c r="E336" s="216"/>
      <c r="G336" s="48"/>
      <c r="H336" s="49"/>
      <c r="I336" s="50"/>
      <c r="J336" s="51"/>
    </row>
    <row r="337" spans="1:10" ht="18" customHeight="1">
      <c r="A337" s="68"/>
      <c r="B337" s="95"/>
      <c r="C337" s="95"/>
      <c r="D337" s="46"/>
      <c r="E337" s="216"/>
      <c r="G337" s="48"/>
      <c r="H337" s="49"/>
      <c r="I337" s="50"/>
      <c r="J337" s="51"/>
    </row>
    <row r="338" spans="1:10" ht="18" customHeight="1">
      <c r="A338" s="68"/>
      <c r="B338" s="95"/>
      <c r="C338" s="95"/>
      <c r="D338" s="46"/>
      <c r="E338" s="216"/>
      <c r="G338" s="48"/>
      <c r="H338" s="49"/>
      <c r="I338" s="50"/>
      <c r="J338" s="51"/>
    </row>
    <row r="339" spans="1:10" ht="18" customHeight="1">
      <c r="A339" s="68"/>
      <c r="B339" s="95"/>
      <c r="C339" s="95"/>
      <c r="D339" s="46"/>
      <c r="E339" s="216"/>
      <c r="G339" s="48"/>
      <c r="H339" s="49"/>
      <c r="I339" s="50"/>
      <c r="J339" s="51"/>
    </row>
    <row r="340" spans="1:10" ht="18" customHeight="1">
      <c r="A340" s="68"/>
      <c r="B340" s="95"/>
      <c r="C340" s="95"/>
      <c r="D340" s="46"/>
      <c r="E340" s="216"/>
      <c r="G340" s="48"/>
      <c r="H340" s="49"/>
      <c r="I340" s="50"/>
      <c r="J340" s="51"/>
    </row>
    <row r="341" spans="1:10" ht="18" customHeight="1">
      <c r="A341" s="68"/>
      <c r="B341" s="95"/>
      <c r="C341" s="95"/>
      <c r="D341" s="46"/>
      <c r="E341" s="216"/>
      <c r="G341" s="48"/>
      <c r="H341" s="49"/>
      <c r="I341" s="50"/>
      <c r="J341" s="51"/>
    </row>
    <row r="342" spans="1:10" ht="18" customHeight="1">
      <c r="A342" s="68"/>
      <c r="B342" s="95"/>
      <c r="C342" s="95"/>
      <c r="D342" s="46"/>
      <c r="E342" s="216"/>
      <c r="G342" s="48"/>
      <c r="H342" s="49"/>
      <c r="I342" s="50"/>
      <c r="J342" s="51"/>
    </row>
    <row r="343" spans="1:10" ht="18" customHeight="1">
      <c r="A343" s="68"/>
      <c r="B343" s="95"/>
      <c r="C343" s="95"/>
      <c r="D343" s="46"/>
      <c r="E343" s="216"/>
      <c r="G343" s="48"/>
      <c r="H343" s="49"/>
      <c r="I343" s="50"/>
      <c r="J343" s="51"/>
    </row>
    <row r="344" spans="1:10" ht="18" customHeight="1">
      <c r="A344" s="68"/>
      <c r="B344" s="95"/>
      <c r="C344" s="95"/>
      <c r="D344" s="46"/>
      <c r="E344" s="216"/>
      <c r="G344" s="48"/>
      <c r="H344" s="49"/>
      <c r="I344" s="50"/>
      <c r="J344" s="51"/>
    </row>
    <row r="345" spans="1:10" ht="18" customHeight="1">
      <c r="A345" s="68"/>
      <c r="B345" s="95"/>
      <c r="C345" s="95"/>
      <c r="D345" s="46"/>
      <c r="E345" s="216"/>
      <c r="G345" s="48"/>
      <c r="H345" s="49"/>
      <c r="I345" s="50"/>
      <c r="J345" s="51"/>
    </row>
    <row r="346" spans="1:10" ht="18" customHeight="1">
      <c r="A346" s="68"/>
      <c r="B346" s="95"/>
      <c r="C346" s="95"/>
      <c r="D346" s="46"/>
      <c r="E346" s="216"/>
      <c r="G346" s="48"/>
      <c r="H346" s="49"/>
      <c r="I346" s="50"/>
      <c r="J346" s="51"/>
    </row>
    <row r="347" spans="1:10" ht="18" customHeight="1">
      <c r="A347" s="68"/>
      <c r="B347" s="95"/>
      <c r="C347" s="95"/>
      <c r="D347" s="46"/>
      <c r="E347" s="216"/>
      <c r="G347" s="48"/>
      <c r="H347" s="49"/>
      <c r="I347" s="50"/>
      <c r="J347" s="51"/>
    </row>
    <row r="348" spans="1:10" ht="18" customHeight="1">
      <c r="A348" s="68"/>
      <c r="B348" s="95"/>
      <c r="C348" s="95"/>
      <c r="D348" s="46"/>
      <c r="E348" s="216"/>
      <c r="G348" s="48"/>
      <c r="H348" s="49"/>
      <c r="I348" s="50"/>
      <c r="J348" s="51"/>
    </row>
    <row r="349" spans="1:10" ht="18" customHeight="1">
      <c r="A349" s="68"/>
      <c r="B349" s="95"/>
      <c r="C349" s="95"/>
      <c r="D349" s="46"/>
      <c r="E349" s="216"/>
      <c r="G349" s="48"/>
      <c r="H349" s="49"/>
      <c r="I349" s="50"/>
      <c r="J349" s="51"/>
    </row>
    <row r="350" spans="1:10" ht="18" customHeight="1">
      <c r="A350" s="68"/>
      <c r="B350" s="95"/>
      <c r="C350" s="95"/>
      <c r="D350" s="46"/>
      <c r="E350" s="216"/>
      <c r="G350" s="48"/>
      <c r="H350" s="49"/>
      <c r="I350" s="50"/>
      <c r="J350" s="51"/>
    </row>
    <row r="351" spans="1:10" ht="18" customHeight="1">
      <c r="A351" s="68"/>
      <c r="B351" s="95"/>
      <c r="C351" s="95"/>
      <c r="D351" s="46"/>
      <c r="E351" s="216"/>
      <c r="G351" s="48"/>
      <c r="H351" s="49"/>
      <c r="I351" s="50"/>
      <c r="J351" s="51"/>
    </row>
    <row r="352" spans="1:10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honeticPr fontId="8" type="noConversion"/>
  <conditionalFormatting sqref="G6:G136">
    <cfRule type="notContainsBlanks" dxfId="0" priority="1">
      <formula>LEN(TRIM(G6))&gt;0</formula>
    </cfRule>
  </conditionalFormatting>
  <dataValidations count="1">
    <dataValidation type="list" allowBlank="1" sqref="G6:G131 G134:G136" xr:uid="{0F1E1D40-6A89-3548-8F02-6F56099401E6}">
      <formula1>"new code,update category info,needs code #,delete code &amp; move expenses to another existing code"</formula1>
    </dataValidation>
  </dataValidations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Flow for Finance Commitee</vt:lpstr>
      <vt:lpstr>Variance Report for Finance Com</vt:lpstr>
      <vt:lpstr>YTD P&amp;L FY2023</vt:lpstr>
      <vt:lpstr>2023 Budget</vt:lpstr>
      <vt:lpstr>'Cash Flow for Finance Commitee'!Print_Area</vt:lpstr>
      <vt:lpstr>'Variance Report for Finance Com'!Print_Area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 Young</dc:creator>
  <cp:lastModifiedBy>Will Halnon</cp:lastModifiedBy>
  <cp:lastPrinted>2022-11-21T19:36:20Z</cp:lastPrinted>
  <dcterms:created xsi:type="dcterms:W3CDTF">2022-03-04T12:37:32Z</dcterms:created>
  <dcterms:modified xsi:type="dcterms:W3CDTF">2023-02-21T17:56:47Z</dcterms:modified>
</cp:coreProperties>
</file>